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2GUlqfVFU/P8dw+XRu/s/55LFiXXjtVvZPTmAvVpGfxy9R03ujxkzW+lmXeyUSq8cQUf4Tw+CvI3pgZFJgNl7g==" workbookSaltValue="yknw14Z28/4YQymGeHa6z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Q18" i="20"/>
  <c r="Q23" i="20" s="1"/>
  <c r="BG22" i="11"/>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T17" i="11"/>
  <c r="BF12" i="11"/>
  <c r="BK20" i="11"/>
  <c r="Q16" i="17"/>
  <c r="BL22" i="11"/>
  <c r="BK10" i="11"/>
  <c r="T14" i="20"/>
  <c r="BF25" i="8"/>
  <c r="BG16" i="8"/>
  <c r="BD9" i="8"/>
  <c r="BF9" i="8"/>
  <c r="C30" i="7"/>
  <c r="L29" i="2"/>
  <c r="L17" i="2"/>
  <c r="L18" i="2"/>
  <c r="AO14" i="21"/>
  <c r="L20" i="2"/>
  <c r="L21" i="2"/>
  <c r="AP14" i="16"/>
  <c r="AA9" i="16"/>
  <c r="T23" i="17"/>
  <c r="T26" i="17" s="1"/>
  <c r="T30" i="17" s="1"/>
  <c r="BG16" i="13"/>
  <c r="BE17" i="13"/>
  <c r="BE16" i="13"/>
  <c r="X32" i="20"/>
  <c r="G30" i="14"/>
  <c r="G23" i="14"/>
  <c r="BF17" i="8" l="1"/>
  <c r="BD12" i="8"/>
  <c r="AY14" i="8"/>
  <c r="AK31" i="8"/>
  <c r="V9" i="16"/>
  <c r="AA11" i="16"/>
  <c r="X19" i="16"/>
  <c r="L16" i="2"/>
  <c r="L22" i="2"/>
  <c r="BI22" i="11"/>
  <c r="BF16" i="11"/>
  <c r="BJ10" i="11"/>
  <c r="BH25" i="16"/>
  <c r="P16" i="17"/>
  <c r="AZ22" i="11"/>
  <c r="BV20" i="16"/>
  <c r="BU18" i="17"/>
  <c r="U10" i="17"/>
  <c r="BV25" i="16"/>
  <c r="BV17" i="16"/>
  <c r="BW9" i="20"/>
  <c r="BU28" i="17"/>
  <c r="BM20" i="11"/>
  <c r="BL25" i="11"/>
  <c r="AP22" i="20"/>
  <c r="V13" i="11"/>
  <c r="BK21" i="11"/>
  <c r="AZ19" i="11"/>
  <c r="BF18" i="11"/>
  <c r="BG25" i="11"/>
  <c r="Z14" i="17"/>
  <c r="X13" i="16"/>
  <c r="V25" i="16"/>
  <c r="L9" i="2"/>
  <c r="U9" i="17"/>
  <c r="U31" i="17" s="1"/>
  <c r="L19" i="2"/>
  <c r="X10" i="21"/>
  <c r="L13" i="2"/>
  <c r="L25" i="2"/>
  <c r="L12" i="2"/>
  <c r="S17" i="17"/>
  <c r="S16" i="17"/>
  <c r="X21" i="20"/>
  <c r="L28"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J31" i="2" l="1"/>
  <c r="AO33"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<sst xmlns="http://schemas.openxmlformats.org/spreadsheetml/2006/main" count="2682" uniqueCount="1193">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</sst>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MpPXy6blOBp+APqBtyjhamQoCdsBviw0hf0tC7ppy9a1NwpOLbpX2vsuQShoPimlQ/EPA1PL5zogTAhta7VSQ==" saltValue="EsqBU+0wmND+ipuoqxJS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14</v>
      </c>
      <c r="E10" s="240">
        <f>IF(ISNUMBER(Datos!J10),Datos!J10," - ")</f>
        <v>10</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15.395948434622468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14</v>
      </c>
      <c r="E14" s="1408">
        <f>SUBTOTAL(9,E9:E13)</f>
        <v>10</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576</v>
      </c>
      <c r="D17" s="239">
        <f>IF(ISNUMBER(IF(D_I="SI",Datos!I17,Datos!I17+Datos!AC17)),IF(D_I="SI",Datos!I17,Datos!I17+Datos!AC17)," - ")</f>
        <v>558</v>
      </c>
      <c r="E17" s="240">
        <f>IF(ISNUMBER(IF(D_I="SI",Datos!J17,Datos!J17+Datos!AD17)),IF(D_I="SI",Datos!J17,Datos!J17+Datos!AD17)," - ")</f>
        <v>1377</v>
      </c>
      <c r="F17" s="240">
        <f>IF(ISNUMBER(IF(D_I="SI",Datos!K17,Datos!K17+Datos!AE17)),IF(D_I="SI",Datos!K17,Datos!K17+Datos!AE17)," - ")</f>
        <v>1246</v>
      </c>
      <c r="G17" s="1390" t="str">
        <f>IF(Datos!E17&lt;&gt;"",Datos!E17,Datos!D17)</f>
        <v>04</v>
      </c>
      <c r="H17" s="241">
        <f>IF(ISNUMBER(IF(D_I="SI",Datos!L17,Datos!L17+Datos!AF17)),IF(D_I="SI",Datos!L17,Datos!L17+Datos!AF17)," - ")</f>
        <v>707</v>
      </c>
      <c r="I17" s="1400" t="str">
        <f>IF(ISNUMBER(Datos!AS17/Datos!BM17),Datos!AS17/Datos!BM17," - ")</f>
        <v xml:space="preserve"> - </v>
      </c>
      <c r="J17" s="1401">
        <f>IF(ISNUMBER(Datos!BY17/Datos!CN17),Datos!BY17/Datos!CN17," - ")</f>
        <v>0</v>
      </c>
      <c r="K17" s="244">
        <f t="shared" si="3"/>
        <v>0.22743055555555555</v>
      </c>
      <c r="L17" s="1402">
        <f>IF(ISNUMBER(NºAsuntos!I17/NºAsuntos!G17),(NºAsuntos!I17/NºAsuntos!G17)*11," - ")</f>
        <v>6.2415730337078656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87</v>
      </c>
      <c r="E18" s="240">
        <f>IF(ISNUMBER(IF(D_I="SI",Datos!J18,Datos!J18+Datos!AD18)),IF(D_I="SI",Datos!J18,Datos!J18+Datos!AD18)," - ")</f>
        <v>49</v>
      </c>
      <c r="F18" s="240">
        <f>IF(ISNUMBER(IF(D_I="SI",Datos!K18,Datos!K18+Datos!AE18)),IF(D_I="SI",Datos!K18,Datos!K18+Datos!AE18)," - ")</f>
        <v>40</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0.6428571428571429</v>
      </c>
      <c r="L18" s="1402">
        <f>IF(ISNUMBER(NºAsuntos!I18/NºAsuntos!G18),(NºAsuntos!I18/NºAsuntos!G18)*11," - ")</f>
        <v>6.3249999999999993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590</v>
      </c>
      <c r="D23" s="1407">
        <f>SUBTOTAL(9,D16:D22)</f>
        <v>645</v>
      </c>
      <c r="E23" s="1408">
        <f>SUBTOTAL(9,E16:E22)</f>
        <v>1426</v>
      </c>
      <c r="F23" s="1408">
        <f>SUBTOTAL(9,F16:F22)</f>
        <v>1286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590</v>
      </c>
      <c r="D31" s="1435">
        <f>SUBTOTAL(9,D9:D30)</f>
        <v>659</v>
      </c>
      <c r="E31" s="1436">
        <f>SUBTOTAL(9,E9:E30)</f>
        <v>1436</v>
      </c>
      <c r="F31" s="1436">
        <f>SUBTOTAL(9,F9:F30)</f>
        <v>1291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J7i2vyudSvGD6LunOyYNU8U1IZKZDOijFHMXK7qVtKJorlCI1y+0NA+cOiOlUuCoIt9JUSn7jBbleon8/tKXTg==" saltValue="iLw8tNpupOPOaHSlElmq3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0PP7LRjVUBn8VhuXMXqIHhfqQ8QECTxECSYm0t/0Mq6k1PbM4FtSScSOqhZb+Jo41En4V008LUlJdZXEJZ5kA==" saltValue="0WrqIfKZD87E5orvhj+9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10</v>
      </c>
      <c r="K10" s="194">
        <v>5</v>
      </c>
      <c r="L10" s="194">
        <v>5</v>
      </c>
      <c r="M10" s="194">
        <v>4</v>
      </c>
      <c r="N10" s="194">
        <v>0</v>
      </c>
      <c r="O10" s="194">
        <v>0</v>
      </c>
      <c r="P10" s="194">
        <v>0</v>
      </c>
      <c r="Q10" s="194">
        <v>0</v>
      </c>
      <c r="R10" s="194">
        <v>0</v>
      </c>
      <c r="S10" s="194">
        <v>7</v>
      </c>
      <c r="T10" s="194">
        <v>24</v>
      </c>
      <c r="U10" s="194">
        <v>17</v>
      </c>
      <c r="V10" s="194">
        <v>14</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24</v>
      </c>
      <c r="BA10" s="139">
        <f t="shared" si="0"/>
        <v>17</v>
      </c>
      <c r="BB10" s="139">
        <f t="shared" si="0"/>
        <v>14</v>
      </c>
      <c r="BC10" s="135">
        <f t="shared" si="0"/>
        <v>13</v>
      </c>
      <c r="BD10" s="136">
        <f>IF(ISNUMBER(BA10/AZ10),BA10/AZ10," - ")</f>
        <v>0.70833333333333337</v>
      </c>
      <c r="BE10" s="137">
        <f>IF(ISNUMBER(BB10/BA10),BB10/BA10, " - ")</f>
        <v>0.82352941176470584</v>
      </c>
      <c r="BF10" s="137">
        <f>IF(ISNUMBER(BC10/BA10),BC10/BA10, " - ")</f>
        <v>0.76470588235294112</v>
      </c>
      <c r="BG10" s="209">
        <f>IF(ISNUMBER((AY10+AZ10)/BA10),(AY10+AZ10)/BA10," - ")</f>
        <v>1.8235294117647058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1098</v>
      </c>
      <c r="J12" s="196">
        <v>1382</v>
      </c>
      <c r="K12" s="196">
        <v>980</v>
      </c>
      <c r="L12" s="196">
        <v>1476</v>
      </c>
      <c r="M12" s="196">
        <v>336</v>
      </c>
      <c r="N12" s="196">
        <v>341</v>
      </c>
      <c r="O12" s="194">
        <v>442</v>
      </c>
      <c r="P12" s="196">
        <v>364</v>
      </c>
      <c r="Q12" s="196">
        <v>94</v>
      </c>
      <c r="R12" s="196">
        <v>2529</v>
      </c>
      <c r="S12" s="196">
        <v>1225</v>
      </c>
      <c r="T12" s="196">
        <v>1356</v>
      </c>
      <c r="U12" s="196">
        <v>1483</v>
      </c>
      <c r="V12" s="196">
        <v>1098</v>
      </c>
      <c r="W12" s="196">
        <v>338</v>
      </c>
      <c r="X12" s="202">
        <v>507</v>
      </c>
      <c r="Y12" s="204">
        <v>40</v>
      </c>
      <c r="Z12" s="194">
        <v>97</v>
      </c>
      <c r="AA12" s="194">
        <v>106</v>
      </c>
      <c r="AB12" s="194">
        <v>44</v>
      </c>
      <c r="AC12" s="196">
        <v>0</v>
      </c>
      <c r="AD12" s="196">
        <v>0</v>
      </c>
      <c r="AE12" s="196">
        <v>0</v>
      </c>
      <c r="AF12" s="202">
        <v>0</v>
      </c>
      <c r="AG12" s="215">
        <v>41</v>
      </c>
      <c r="AH12" s="196">
        <v>121</v>
      </c>
      <c r="AI12" s="196">
        <v>122</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1266</v>
      </c>
      <c r="AZ12" s="137">
        <f t="shared" si="1"/>
        <v>1477</v>
      </c>
      <c r="BA12" s="137">
        <f t="shared" si="1"/>
        <v>1605</v>
      </c>
      <c r="BB12" s="137">
        <f t="shared" si="1"/>
        <v>1138</v>
      </c>
      <c r="BC12" s="135">
        <f>IF(ISNUMBER(X12),X12," - ")</f>
        <v>507</v>
      </c>
      <c r="BD12" s="136">
        <f t="shared" si="2"/>
        <v>1.086662153012864</v>
      </c>
      <c r="BE12" s="137">
        <f t="shared" si="3"/>
        <v>0.70903426791277258</v>
      </c>
      <c r="BF12" s="137">
        <f t="shared" si="4"/>
        <v>0.31588785046728973</v>
      </c>
      <c r="BG12" s="209">
        <f t="shared" si="5"/>
        <v>1.7090342679127726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1112</v>
      </c>
      <c r="J14" s="197">
        <f t="shared" si="7"/>
        <v>1392</v>
      </c>
      <c r="K14" s="197">
        <f t="shared" si="7"/>
        <v>985</v>
      </c>
      <c r="L14" s="197">
        <f t="shared" si="7"/>
        <v>1481</v>
      </c>
      <c r="M14" s="197">
        <f t="shared" si="7"/>
        <v>340</v>
      </c>
      <c r="N14" s="197">
        <f t="shared" si="7"/>
        <v>341</v>
      </c>
      <c r="O14" s="197">
        <f t="shared" si="7"/>
        <v>442</v>
      </c>
      <c r="P14" s="197">
        <f t="shared" si="7"/>
        <v>364</v>
      </c>
      <c r="Q14" s="197">
        <f t="shared" si="7"/>
        <v>94</v>
      </c>
      <c r="R14" s="197">
        <f t="shared" si="7"/>
        <v>2529</v>
      </c>
      <c r="S14" s="197">
        <f t="shared" si="7"/>
        <v>1232</v>
      </c>
      <c r="T14" s="197">
        <f t="shared" si="7"/>
        <v>1380</v>
      </c>
      <c r="U14" s="197">
        <f t="shared" si="7"/>
        <v>1500</v>
      </c>
      <c r="V14" s="197">
        <f t="shared" si="7"/>
        <v>1112</v>
      </c>
      <c r="W14" s="197">
        <f t="shared" si="7"/>
        <v>351</v>
      </c>
      <c r="X14" s="197">
        <f t="shared" si="7"/>
        <v>507</v>
      </c>
      <c r="Y14" s="197">
        <f t="shared" si="7"/>
        <v>40</v>
      </c>
      <c r="Z14" s="197">
        <f t="shared" si="7"/>
        <v>97</v>
      </c>
      <c r="AA14" s="197">
        <f t="shared" si="7"/>
        <v>106</v>
      </c>
      <c r="AB14" s="197">
        <f t="shared" si="7"/>
        <v>44</v>
      </c>
      <c r="AC14" s="197">
        <f t="shared" si="7"/>
        <v>0</v>
      </c>
      <c r="AD14" s="197">
        <f t="shared" si="7"/>
        <v>0</v>
      </c>
      <c r="AE14" s="197">
        <f t="shared" si="7"/>
        <v>0</v>
      </c>
      <c r="AF14" s="197">
        <f>SUBTOTAL(9,AF9:AF13)</f>
        <v>0</v>
      </c>
      <c r="AG14" s="197">
        <f t="shared" ref="AG14:AT14" si="8">SUBTOTAL(9,AG8:AG13)</f>
        <v>41</v>
      </c>
      <c r="AH14" s="197">
        <f t="shared" si="8"/>
        <v>121</v>
      </c>
      <c r="AI14" s="197">
        <f t="shared" si="8"/>
        <v>122</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1273</v>
      </c>
      <c r="AZ14" s="197">
        <f>SUBTOTAL(9,AZ8:AZ13)</f>
        <v>1501</v>
      </c>
      <c r="BA14" s="197">
        <f>SUBTOTAL(9,BA8:BA13)</f>
        <v>1622</v>
      </c>
      <c r="BB14" s="197">
        <f>SUBTOTAL(9,BB8:BB13)</f>
        <v>1152</v>
      </c>
      <c r="BC14" s="197">
        <f>SUBTOTAL(9,BC8:BC13)</f>
        <v>520</v>
      </c>
      <c r="BD14" s="219">
        <f>IF(ISNUMBER(BA14/AZ14),BA14/AZ14," - ")</f>
        <v>1.0806129247168554</v>
      </c>
      <c r="BE14" s="220">
        <f>IF(ISNUMBER(BB14/BA14),BB14/BA14, " - ")</f>
        <v>0.71023427866831068</v>
      </c>
      <c r="BF14" s="220">
        <f>IF(ISNUMBER(BC14/BA14),BC14/BA14, " - ")</f>
        <v>0.32059186189889027</v>
      </c>
      <c r="BG14" s="221">
        <f>IF(ISNUMBER((AY14+AZ14)/BA14),(AY14+AZ14)/BA14," - ")</f>
        <v>1.7102342786683107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558</v>
      </c>
      <c r="J17" s="196">
        <v>1377</v>
      </c>
      <c r="K17" s="196">
        <v>1246</v>
      </c>
      <c r="L17" s="196">
        <v>707</v>
      </c>
      <c r="M17" s="196">
        <v>142</v>
      </c>
      <c r="N17" s="196">
        <v>793</v>
      </c>
      <c r="O17" s="194">
        <v>21</v>
      </c>
      <c r="P17" s="196">
        <v>44</v>
      </c>
      <c r="Q17" s="196">
        <v>44</v>
      </c>
      <c r="R17" s="196">
        <v>66</v>
      </c>
      <c r="S17" s="196">
        <v>631</v>
      </c>
      <c r="T17" s="196">
        <v>1321</v>
      </c>
      <c r="U17" s="196">
        <v>1339</v>
      </c>
      <c r="V17" s="196">
        <v>558</v>
      </c>
      <c r="W17" s="196">
        <v>210</v>
      </c>
      <c r="X17" s="202">
        <v>646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631</v>
      </c>
      <c r="AZ17" s="137">
        <f t="shared" si="10"/>
        <v>1321</v>
      </c>
      <c r="BA17" s="137">
        <f t="shared" si="10"/>
        <v>1339</v>
      </c>
      <c r="BB17" s="137">
        <f t="shared" si="10"/>
        <v>558</v>
      </c>
      <c r="BC17" s="135">
        <f>IF(ISNUMBER(W17),W17," - ")</f>
        <v>210</v>
      </c>
      <c r="BD17" s="136">
        <f t="shared" ref="BD17:BD22" si="12">IF(ISNUMBER(BA17/AZ17),BA17/AZ17," - ")</f>
        <v>1.0136260408781226</v>
      </c>
      <c r="BE17" s="137">
        <f t="shared" ref="BE17:BE22" si="13">IF(ISNUMBER(BB17/BA17),BB17/BA17, " - ")</f>
        <v>0.41672890216579539</v>
      </c>
      <c r="BF17" s="137">
        <f t="shared" ref="BF17:BF22" si="14">IF(ISNUMBER(BC17/BA17),BC17/BA17, " - ")</f>
        <v>0.15683345780433158</v>
      </c>
      <c r="BG17" s="209">
        <f t="shared" si="11"/>
        <v>1.4578043315907394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49</v>
      </c>
      <c r="K18" s="196">
        <v>40</v>
      </c>
      <c r="L18" s="196">
        <v>23</v>
      </c>
      <c r="M18" s="196">
        <v>3</v>
      </c>
      <c r="N18" s="196">
        <v>37</v>
      </c>
      <c r="O18" s="196">
        <v>0</v>
      </c>
      <c r="P18" s="196">
        <v>0</v>
      </c>
      <c r="Q18" s="196">
        <v>0</v>
      </c>
      <c r="R18" s="196">
        <v>0</v>
      </c>
      <c r="S18" s="196">
        <v>55</v>
      </c>
      <c r="T18" s="196">
        <v>145</v>
      </c>
      <c r="U18" s="196">
        <v>113</v>
      </c>
      <c r="V18" s="196">
        <v>87</v>
      </c>
      <c r="W18" s="196">
        <v>8</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145</v>
      </c>
      <c r="BA18" s="139">
        <f t="shared" si="15"/>
        <v>113</v>
      </c>
      <c r="BB18" s="139">
        <f t="shared" si="15"/>
        <v>87</v>
      </c>
      <c r="BC18" s="135">
        <f>IF(ISNUMBER(W18),W18," - ")</f>
        <v>8</v>
      </c>
      <c r="BD18" s="136">
        <f>IF(ISNUMBER(BA18/AZ18),BA18/AZ18," - ")</f>
        <v>0.77931034482758621</v>
      </c>
      <c r="BE18" s="137">
        <f>IF(ISNUMBER(BB18/BA18),BB18/BA18, " - ")</f>
        <v>0.76991150442477874</v>
      </c>
      <c r="BF18" s="137">
        <f>IF(ISNUMBER(BC18/BA18),BC18/BA18, " - ")</f>
        <v>7.0796460176991149E-2</v>
      </c>
      <c r="BG18" s="209">
        <f>IF(ISNUMBER((AY18+AZ18)/BA18),(AY18+AZ18)/BA18," - ")</f>
        <v>1.7699115044247788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645</v>
      </c>
      <c r="J23" s="197">
        <f t="shared" si="21"/>
        <v>1426</v>
      </c>
      <c r="K23" s="197">
        <f t="shared" si="21"/>
        <v>1286</v>
      </c>
      <c r="L23" s="197">
        <f t="shared" si="21"/>
        <v>730</v>
      </c>
      <c r="M23" s="197">
        <f t="shared" si="21"/>
        <v>145</v>
      </c>
      <c r="N23" s="197">
        <f t="shared" si="21"/>
        <v>830</v>
      </c>
      <c r="O23" s="197">
        <f t="shared" si="21"/>
        <v>21</v>
      </c>
      <c r="P23" s="197">
        <f t="shared" si="21"/>
        <v>44</v>
      </c>
      <c r="Q23" s="197">
        <f t="shared" si="21"/>
        <v>44</v>
      </c>
      <c r="R23" s="197">
        <f t="shared" si="21"/>
        <v>66</v>
      </c>
      <c r="S23" s="197">
        <f t="shared" si="21"/>
        <v>686</v>
      </c>
      <c r="T23" s="197">
        <f t="shared" si="21"/>
        <v>1466</v>
      </c>
      <c r="U23" s="197">
        <f t="shared" si="21"/>
        <v>1452</v>
      </c>
      <c r="V23" s="197">
        <f t="shared" si="21"/>
        <v>645</v>
      </c>
      <c r="W23" s="197">
        <f t="shared" si="21"/>
        <v>218</v>
      </c>
      <c r="X23" s="197">
        <f t="shared" si="21"/>
        <v>705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686</v>
      </c>
      <c r="AZ23" s="197">
        <f>SUBTOTAL(9,AZ15:AZ22)</f>
        <v>1466</v>
      </c>
      <c r="BA23" s="197">
        <f>SUBTOTAL(9,BA15:BA22)</f>
        <v>1452</v>
      </c>
      <c r="BB23" s="197">
        <f>SUBTOTAL(9,BB15:BB22)</f>
        <v>645</v>
      </c>
      <c r="BC23" s="197">
        <f>SUBTOTAL(9,BC15:BC22)</f>
        <v>218</v>
      </c>
      <c r="BD23" s="219">
        <f>IF(ISNUMBER(BA23/AZ23),BA23/AZ23," - ")</f>
        <v>0.990450204638472</v>
      </c>
      <c r="BE23" s="220">
        <f>IF(ISNUMBER(BB23/BA23),BB23/BA23, " - ")</f>
        <v>0.44421487603305787</v>
      </c>
      <c r="BF23" s="220">
        <f>IF(ISNUMBER(BC23/BA23),BC23/BA23, " - ")</f>
        <v>0.15013774104683195</v>
      </c>
      <c r="BG23" s="221">
        <f>IF(ISNUMBER((AY23+AZ23)/BA23),(AY23+AZ23)/BA23," - ")</f>
        <v>1.4820936639118458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1757</v>
      </c>
      <c r="J31" s="144">
        <f t="shared" si="36"/>
        <v>2818</v>
      </c>
      <c r="K31" s="144">
        <f t="shared" si="36"/>
        <v>2271</v>
      </c>
      <c r="L31" s="144">
        <f t="shared" si="36"/>
        <v>2211</v>
      </c>
      <c r="M31" s="144">
        <f t="shared" si="36"/>
        <v>485</v>
      </c>
      <c r="N31" s="144">
        <f t="shared" si="36"/>
        <v>1171</v>
      </c>
      <c r="O31" s="144">
        <f t="shared" si="36"/>
        <v>463</v>
      </c>
      <c r="P31" s="144">
        <f t="shared" si="36"/>
        <v>408</v>
      </c>
      <c r="Q31" s="144">
        <f t="shared" si="36"/>
        <v>138</v>
      </c>
      <c r="R31" s="144">
        <f t="shared" si="36"/>
        <v>2595</v>
      </c>
      <c r="S31" s="144">
        <f t="shared" si="36"/>
        <v>1918</v>
      </c>
      <c r="T31" s="144">
        <f t="shared" si="36"/>
        <v>2846</v>
      </c>
      <c r="U31" s="144">
        <f t="shared" si="36"/>
        <v>2952</v>
      </c>
      <c r="V31" s="144">
        <f t="shared" si="36"/>
        <v>1757</v>
      </c>
      <c r="W31" s="144">
        <f t="shared" si="36"/>
        <v>569</v>
      </c>
      <c r="X31" s="144">
        <f t="shared" si="36"/>
        <v>1212</v>
      </c>
      <c r="Y31" s="144">
        <f t="shared" si="36"/>
        <v>40</v>
      </c>
      <c r="Z31" s="144">
        <f t="shared" si="36"/>
        <v>97</v>
      </c>
      <c r="AA31" s="144">
        <f t="shared" si="36"/>
        <v>106</v>
      </c>
      <c r="AB31" s="144">
        <f t="shared" si="36"/>
        <v>44</v>
      </c>
      <c r="AC31" s="144">
        <f t="shared" si="36"/>
        <v>0</v>
      </c>
      <c r="AD31" s="144">
        <f t="shared" si="36"/>
        <v>0</v>
      </c>
      <c r="AE31" s="144">
        <f t="shared" si="36"/>
        <v>0</v>
      </c>
      <c r="AF31" s="144">
        <f t="shared" si="36"/>
        <v>0</v>
      </c>
      <c r="AG31" s="144">
        <f t="shared" si="36"/>
        <v>41</v>
      </c>
      <c r="AH31" s="144">
        <f t="shared" si="36"/>
        <v>121</v>
      </c>
      <c r="AI31" s="144">
        <f t="shared" si="36"/>
        <v>122</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1959</v>
      </c>
      <c r="AZ31" s="144">
        <f>SUBTOTAL(9,AZ9:AZ30)</f>
        <v>2967</v>
      </c>
      <c r="BA31" s="144">
        <f>SUBTOTAL(9,BA9:BA30)</f>
        <v>3074</v>
      </c>
      <c r="BB31" s="144">
        <f>SUBTOTAL(9,BB9:BB30)</f>
        <v>1797</v>
      </c>
      <c r="BC31" s="145">
        <f>SUBTOTAL(9,BC9:BC30)</f>
        <v>738</v>
      </c>
      <c r="BD31" s="227">
        <f>IF(ISNUMBER(BA31/AZ31),BA31/AZ31," - ")</f>
        <v>1.0360633636670038</v>
      </c>
      <c r="BE31" s="224">
        <f>IF(ISNUMBER(BB31/BA31),BB31/BA31, " - ")</f>
        <v>0.58458035133376707</v>
      </c>
      <c r="BF31" s="224">
        <f>IF(ISNUMBER(BC31/BA31),BC31/BA31, " - ")</f>
        <v>0.24007807417046195</v>
      </c>
      <c r="BG31" s="145">
        <f>IF(ISNUMBER((AY31+AZ31)/BA31),(AY31+AZ31)/BA31," - ")</f>
        <v>1.6024723487312946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ochPQXm2FTGRhFpmq7P512RMmEhx1CzFTmmOQoNOeWQUIeWHU3m8Dl5Z/8xan0FJXN33ZcgKRrvBDafnAv0lQ==" saltValue="D/fZPjvZqts3Dn3bwNxw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oBsCmXIhFjp5M6+HZzzPrJPsg/YALKdKaN/UOT1xxZ9qsaoqTrHboUhw0p0G3xyoFZ7j91lygiZ/pmOIyfpg==" saltValue="nMzy+Jk2uvXX0W+bdG5j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ALMANSA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v>
      </c>
      <c r="O12" s="549"/>
      <c r="P12" s="549"/>
      <c r="Q12" s="547">
        <f>IF(ISNUMBER(Datos!P12),Datos!P12,0)</f>
        <v>364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2529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336</v>
      </c>
      <c r="BD12" s="693">
        <f>IF(ISNUMBER(Datos!N12),Datos!N12," - ")</f>
        <v>341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0.73427991886409738</v>
      </c>
      <c r="BH12" s="764">
        <f>IF(ISNUMBER(((IF(J_V="SI",Datos!L12/Datos!K12,(Datos!L12+Datos!AB12)/(Datos!K12+Datos!AA12)))*11)/factor_trimestre),((IF(J_V="SI",Datos!L12/Datos!K12,(Datos!L12+Datos!AB12)/(Datos!K12+Datos!AA12)))*11)/factor_trimestre," - ")</f>
        <v>15.395948434622468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0.11952191235059761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0</v>
      </c>
      <c r="G14" s="1197">
        <f t="shared" si="1"/>
        <v>14</v>
      </c>
      <c r="H14" s="1198">
        <f t="shared" si="1"/>
        <v>0</v>
      </c>
      <c r="I14" s="1197">
        <f t="shared" si="1"/>
        <v>0</v>
      </c>
      <c r="J14" s="1164">
        <f t="shared" si="1"/>
        <v>0</v>
      </c>
      <c r="K14" s="1164">
        <f t="shared" si="1"/>
        <v>0</v>
      </c>
      <c r="L14" s="1198">
        <f t="shared" si="1"/>
        <v>0</v>
      </c>
      <c r="M14" s="1198">
        <f t="shared" si="1"/>
        <v>0</v>
      </c>
      <c r="N14" s="1198">
        <f t="shared" si="1"/>
        <v>97</v>
      </c>
      <c r="O14" s="1199">
        <f t="shared" si="1"/>
        <v>0</v>
      </c>
      <c r="P14" s="1199">
        <f t="shared" si="1"/>
        <v>0</v>
      </c>
      <c r="Q14" s="1198">
        <f t="shared" si="1"/>
        <v>364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94</v>
      </c>
      <c r="AD14" s="1198">
        <f t="shared" si="2"/>
        <v>0</v>
      </c>
      <c r="AE14" s="1198">
        <f t="shared" si="2"/>
        <v>0</v>
      </c>
      <c r="AF14" s="1198">
        <f t="shared" si="2"/>
        <v>5</v>
      </c>
      <c r="AG14" s="1198">
        <f t="shared" si="2"/>
        <v>0</v>
      </c>
      <c r="AH14" s="1198">
        <f t="shared" si="2"/>
        <v>44</v>
      </c>
      <c r="AI14" s="1198">
        <f t="shared" si="2"/>
        <v>0</v>
      </c>
      <c r="AJ14" s="1198">
        <f t="shared" si="2"/>
        <v>0</v>
      </c>
      <c r="AK14" s="1198">
        <f t="shared" si="2"/>
        <v>0</v>
      </c>
      <c r="AL14" s="1198">
        <f t="shared" si="2"/>
        <v>0</v>
      </c>
      <c r="AM14" s="1198">
        <f t="shared" si="2"/>
        <v>2529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340</v>
      </c>
      <c r="BD14" s="1198">
        <f t="shared" si="2"/>
        <v>341</v>
      </c>
      <c r="BE14" s="1198">
        <f t="shared" si="2"/>
        <v>0</v>
      </c>
      <c r="BF14" s="1198">
        <f t="shared" si="2"/>
        <v>0</v>
      </c>
      <c r="BG14" s="1198">
        <f>IF(ISNUMBER(Datos!K14/Datos!J14),Datos!K14/Datos!J14," - ")</f>
        <v>0.70761494252873558</v>
      </c>
      <c r="BH14" s="1202">
        <f>IF(ISNUMBER(((Datos!L14/Datos!K14)*11)/factor_trimestre),((Datos!L14/Datos!K14)*11)/factor_trimestre," - ")</f>
        <v>16.539086294416244</v>
      </c>
      <c r="BI14" s="1198">
        <f>IF(ISNUMBER('Resol  Asuntos'!D14/NºAsuntos!G14),'Resol  Asuntos'!D14/NºAsuntos!G14," - ")</f>
        <v>0.31164069660861593</v>
      </c>
      <c r="BJ14" s="1198" t="str">
        <f>IF(ISNUMBER(Datos!CI14/Datos!CJ14),Datos!CI14/Datos!CJ14," - ")</f>
        <v xml:space="preserve"> - </v>
      </c>
      <c r="BK14" s="1198">
        <f>SUBTOTAL(9,BK8:BK13)</f>
        <v>0</v>
      </c>
      <c r="BL14" s="1198" t="str">
        <f>IF(ISNUMBER((I14-AB14+L14)/(F14)),(I14-AB14+L14)/(F14)," - ")</f>
        <v xml:space="preserve"> - </v>
      </c>
      <c r="BM14" s="1203">
        <f>SUBTOTAL(9,BM9:BM13)</f>
        <v>0.11952191235059761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576</v>
      </c>
      <c r="G17" s="743">
        <f>IF(ISNUMBER(IF(D_I="SI",Datos!I17,Datos!I17+Datos!AC17)),IF(D_I="SI",Datos!I17,Datos!I17+Datos!AC17)," - ")</f>
        <v>558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1246</v>
      </c>
      <c r="AC17" s="240">
        <f>IF(ISNUMBER(Datos!Q17),Datos!Q17," - ")</f>
        <v>44</v>
      </c>
      <c r="AD17" s="374"/>
      <c r="AE17" s="562"/>
      <c r="AF17" s="741">
        <f>IF(ISNUMBER(IF(D_I="SI",Datos!L17,Datos!L17+Datos!AF17)),IF(D_I="SI",Datos!L17,Datos!L17+Datos!AF17)," - ")</f>
        <v>707</v>
      </c>
      <c r="AG17" s="374"/>
      <c r="AH17" s="374"/>
      <c r="AI17" s="374"/>
      <c r="AJ17" s="549"/>
      <c r="AK17" s="374"/>
      <c r="AL17" s="545"/>
      <c r="AM17" s="375">
        <f>IF(ISNUMBER(Datos!R17),Datos!R17," - ")</f>
        <v>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142</v>
      </c>
      <c r="BD17" s="243">
        <f>IF(ISNUMBER(Datos!N17),Datos!N17," - ")</f>
        <v>793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0.90486564996368923</v>
      </c>
      <c r="BH17" s="764">
        <f>IF(ISNUMBER(((IF(D_I="SI",Datos!L17/Datos!K17,(Datos!L17+Datos!AF17)/(Datos!K17+Datos!AE17)))*11)/factor_trimestre),((IF(D_I="SI",Datos!L17/Datos!K17,(Datos!L17+Datos!AF17)/(Datos!K17+Datos!AE17)))*11)/factor_trimestre," - ")</f>
        <v>6.2415730337078656</v>
      </c>
      <c r="BI17" s="266">
        <f>IF(ISNUMBER('Resol  Asuntos'!D17/NºAsuntos!G17),'Resol  Asuntos'!D17/NºAsuntos!G17," - ")</f>
        <v>0.11396468699839486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0.81632653061224492</v>
      </c>
      <c r="BH18" s="764">
        <f>IF(ISNUMBER(((IF(D_I="SI",Datos!L18/Datos!K18,(Datos!L18+Datos!AF18)/(Datos!K18+Datos!AE18)))*11)/factor_trimestre),((IF(D_I="SI",Datos!L18/Datos!K18,(Datos!L18+Datos!AF18)/(Datos!K18+Datos!AE18)))*11)/factor_trimestre," - ")</f>
        <v>6.3249999999999993</v>
      </c>
      <c r="BI18" s="763">
        <f>IF(ISNUMBER('Resol  Asuntos'!D18/NºAsuntos!G18),'Resol  Asuntos'!D18/NºAsuntos!G18," - ")</f>
        <v>7.4999999999999997E-2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576</v>
      </c>
      <c r="G23" s="1197">
        <f>SUBTOTAL(9,G16:G22)</f>
        <v>645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1286</v>
      </c>
      <c r="AC23" s="1198">
        <f t="shared" si="5"/>
        <v>44</v>
      </c>
      <c r="AD23" s="1198">
        <f t="shared" si="5"/>
        <v>0</v>
      </c>
      <c r="AE23" s="1198">
        <f t="shared" si="5"/>
        <v>0</v>
      </c>
      <c r="AF23" s="1198">
        <f t="shared" si="5"/>
        <v>730</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830</v>
      </c>
      <c r="BE23" s="1198">
        <f t="shared" si="5"/>
        <v>0</v>
      </c>
      <c r="BF23" s="1198">
        <f t="shared" si="5"/>
        <v>0</v>
      </c>
      <c r="BG23" s="1198">
        <f>IF(ISNUMBER(Datos!K23/Datos!J23),Datos!K23/Datos!J23," - ")</f>
        <v>0.90182328190743333</v>
      </c>
      <c r="BH23" s="1202">
        <f>IF(ISNUMBER(((Datos!L23/Datos!K23)*11)/factor_trimestre),((Datos!L23/Datos!K23)*11)/factor_trimestre," - ")</f>
        <v>6.2441679626749602</v>
      </c>
      <c r="BI23" s="1198">
        <f>SUBTOTAL(9,BI16:BI22)</f>
        <v>0.18896468699839486</v>
      </c>
      <c r="BJ23" s="1198">
        <f>SUBTOTAL(9,BJ16:BJ22)</f>
        <v>0</v>
      </c>
      <c r="BK23" s="1198">
        <f>SUBTOTAL(9,BK16:BK22)</f>
        <v>0</v>
      </c>
      <c r="BL23" s="1198">
        <f>IF(ISNUMBER((I23-AB23+L23)/(F23)),(I23-AB23+L23)/(F23)," - ")</f>
        <v>-2.2326388888888888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576</v>
      </c>
      <c r="G31" s="1117">
        <f t="shared" si="18"/>
        <v>659</v>
      </c>
      <c r="H31" s="1119">
        <f t="shared" si="18"/>
        <v>0</v>
      </c>
      <c r="I31" s="1117">
        <f t="shared" si="18"/>
        <v>0</v>
      </c>
      <c r="J31" s="1119">
        <f t="shared" si="18"/>
        <v>0</v>
      </c>
      <c r="K31" s="1119">
        <f t="shared" si="18"/>
        <v>0</v>
      </c>
      <c r="L31" s="1180">
        <f t="shared" si="18"/>
        <v>0</v>
      </c>
      <c r="M31" s="1180">
        <f t="shared" si="18"/>
        <v>0</v>
      </c>
      <c r="N31" s="1180">
        <f t="shared" si="18"/>
        <v>97</v>
      </c>
      <c r="O31" s="1180">
        <f t="shared" si="18"/>
        <v>0</v>
      </c>
      <c r="P31" s="1180">
        <f t="shared" si="18"/>
        <v>0</v>
      </c>
      <c r="Q31" s="1119">
        <f t="shared" si="18"/>
        <v>408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1291</v>
      </c>
      <c r="AC31" s="1118">
        <f t="shared" si="19"/>
        <v>138</v>
      </c>
      <c r="AD31" s="1118">
        <f t="shared" si="19"/>
        <v>0</v>
      </c>
      <c r="AE31" s="1118">
        <f t="shared" si="19"/>
        <v>0</v>
      </c>
      <c r="AF31" s="1125">
        <f t="shared" si="19"/>
        <v>735</v>
      </c>
      <c r="AG31" s="1125">
        <f t="shared" si="19"/>
        <v>0</v>
      </c>
      <c r="AH31" s="1125">
        <f t="shared" si="19"/>
        <v>44</v>
      </c>
      <c r="AI31" s="1125">
        <f t="shared" si="19"/>
        <v>0</v>
      </c>
      <c r="AJ31" s="1118">
        <f t="shared" si="19"/>
        <v>0</v>
      </c>
      <c r="AK31" s="1125">
        <f t="shared" si="19"/>
        <v>0</v>
      </c>
      <c r="AL31" s="1125">
        <f t="shared" si="19"/>
        <v>0</v>
      </c>
      <c r="AM31" s="1125">
        <f t="shared" si="19"/>
        <v>2595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485</v>
      </c>
      <c r="BD31" s="1117">
        <f t="shared" si="19"/>
        <v>1171</v>
      </c>
      <c r="BE31" s="1117">
        <f t="shared" si="19"/>
        <v>0</v>
      </c>
      <c r="BF31" s="1127">
        <f t="shared" si="19"/>
        <v>0</v>
      </c>
      <c r="BG31" s="1223">
        <f>IF(ISNUMBER(Datos!K31/Datos!J31),Datos!K31/Datos!J31," - ")</f>
        <v>0.80589070262597584</v>
      </c>
      <c r="BH31" s="1223">
        <f>IF(ISNUMBER(((Datos!L31/Datos!K31)*11)/factor_trimestre),((Datos!L31/Datos!K31)*11)/factor_trimestre," - ")</f>
        <v>10.709379128137384</v>
      </c>
      <c r="BI31" s="1103">
        <f>IF(ISNUMBER(Datos!J31/Datos!I31),Datos!J31/Datos!I31," - ")</f>
        <v>1.6038702333523052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-2.2413194444444446</v>
      </c>
      <c r="BM31" s="1188">
        <f>IF(ISNUMBER((Datos!P31-Datos!Q31+R31)/(Datos!R31-Datos!P31+Datos!Q31-R31)),(Datos!P31-Datos!Q31+R31)/(Datos!R31-Datos!P31+Datos!Q31-R31)," - ")</f>
        <v>0.11612903225806452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297.44512098872963</v>
      </c>
      <c r="G33" s="674">
        <f>IF(ISNUMBER(STDEV(G8:G30)),STDEV(G8:G30),"-")</f>
        <v>284.95304542193981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613.13033648956684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147.4049330440277</v>
      </c>
      <c r="BD33" s="673"/>
      <c r="BE33" s="673">
        <f>IF(ISNUMBER(STDEV(BE8:BE30)),STDEV(BE8:BE30),"-")</f>
        <v>0</v>
      </c>
      <c r="BF33" s="678">
        <f>IF(ISNUMBER(STDEV(BF8:BF30)),STDEV(BF8:BF30),"-")</f>
        <v>0</v>
      </c>
      <c r="BG33" s="1052">
        <f>IF(ISNUMBER(STDEV(BG8:BG30)),STDEV(BG8:BG30),"-")</f>
        <v>0.15183825351626845</v>
      </c>
      <c r="BH33" s="1058">
        <f>IF(ISNUMBER(STDEV(BH8:BH30)),STDEV(BH8:BH30),"-")</f>
        <v>4.7771461386040457</v>
      </c>
      <c r="BI33" s="273">
        <f>IF(ISNUMBER(STDEV(BI8:BI30)),STDEV(BI8:BI30),"-")</f>
        <v>0.10418542129149806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TRMEfLjzVAvF+5rXa23MfgcKrXE8sVYp7aW+1VQGe9qqngEB/RwZCeO9eLBGeJLlFOn5Snx03xX/bsJBKM3dA==" saltValue="Tq3QYxdHZpIZxatI1PRS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ALMANSA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v>
      </c>
      <c r="AA12" s="551" t="str">
        <f>IF(ISNUMBER(IF(J_V="SI",Datos!L12,Datos!L12+Datos!AB12)-IF(Monitorios="SI",Datos!CD12,0)),
                          IF(J_V="SI",Datos!L12,Datos!L12+Datos!AB12)-IF(Monitorios="SI",Datos!CD12,0),
                          " - ")</f>
        <v xml:space="preserve"> - </v>
      </c>
      <c r="AB12" s="549"/>
      <c r="AC12" s="549"/>
      <c r="AD12" s="563"/>
      <c r="AE12" s="563">
        <f>IF(ISNUMBER(Datos!R12),Datos!R12," - ")</f>
        <v>2529</v>
      </c>
      <c r="AF12" s="693" t="str">
        <f>IF(ISNUMBER(Datos!BV12),Datos!BV12," - ")</f>
        <v xml:space="preserve"> - </v>
      </c>
      <c r="AG12" s="552" t="str">
        <f>IF(ISNUMBER(Datos!DV12),Datos!DV12," - ")</f>
        <v xml:space="preserve"> - </v>
      </c>
      <c r="AH12" s="553"/>
      <c r="AI12" s="554"/>
      <c r="AJ12" s="552">
        <f>IF(ISNUMBER(Datos!M12),Datos!M12," - ")</f>
        <v>336</v>
      </c>
      <c r="AK12" s="693">
        <f>IF(ISNUMBER(Datos!N12),Datos!N12," - ")</f>
        <v>341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15.395948434622468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0.11952191235059761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0</v>
      </c>
      <c r="G14" s="1197">
        <f>SUBTOTAL(9,G8:G13)</f>
        <v>14</v>
      </c>
      <c r="H14" s="1211"/>
      <c r="I14" s="1197">
        <f t="shared" ref="I14:N14" si="1">SUBTOTAL(9,I8:I13)</f>
        <v>0</v>
      </c>
      <c r="J14" s="1164">
        <f t="shared" si="1"/>
        <v>0</v>
      </c>
      <c r="K14" s="1211">
        <f t="shared" si="1"/>
        <v>0</v>
      </c>
      <c r="L14" s="1211">
        <f t="shared" si="1"/>
        <v>0</v>
      </c>
      <c r="M14" s="1211">
        <f t="shared" si="1"/>
        <v>0</v>
      </c>
      <c r="N14" s="1211">
        <f t="shared" si="1"/>
        <v>364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94</v>
      </c>
      <c r="AA14" s="1199">
        <f t="shared" si="3"/>
        <v>5</v>
      </c>
      <c r="AB14" s="1199">
        <f t="shared" si="3"/>
        <v>0</v>
      </c>
      <c r="AC14" s="1199">
        <f t="shared" si="3"/>
        <v>0</v>
      </c>
      <c r="AD14" s="1199">
        <f t="shared" si="3"/>
        <v>0</v>
      </c>
      <c r="AE14" s="1199">
        <f t="shared" si="3"/>
        <v>2529</v>
      </c>
      <c r="AF14" s="1211">
        <f t="shared" si="3"/>
        <v>0</v>
      </c>
      <c r="AG14" s="1211">
        <f t="shared" si="3"/>
        <v>0</v>
      </c>
      <c r="AH14" s="1211">
        <f t="shared" si="3"/>
        <v>0</v>
      </c>
      <c r="AI14" s="1211">
        <f t="shared" si="3"/>
        <v>0</v>
      </c>
      <c r="AJ14" s="1211">
        <f t="shared" si="3"/>
        <v>340</v>
      </c>
      <c r="AK14" s="1211">
        <f t="shared" si="3"/>
        <v>341</v>
      </c>
      <c r="AL14" s="1211">
        <f t="shared" si="3"/>
        <v>0</v>
      </c>
      <c r="AM14" s="1211">
        <f t="shared" si="3"/>
        <v>0</v>
      </c>
      <c r="AN14" s="1211">
        <f t="shared" si="3"/>
        <v>0</v>
      </c>
      <c r="AO14" s="1203">
        <f>IF(ISNUMBER(((NºAsuntos!I14/NºAsuntos!G14)*11)/factor_trimestre),((NºAsuntos!I14/NºAsuntos!G14)*11)/factor_trimestre," - ")</f>
        <v>15.375802016498625</v>
      </c>
      <c r="AP14" s="1213" t="str">
        <f>IF(ISNUMBER(Datos!CI14/Datos!CJ14),Datos!CI14/Datos!CJ14," - ")</f>
        <v xml:space="preserve"> - </v>
      </c>
      <c r="AQ14" s="1236">
        <f t="shared" ref="AQ14:AV14" si="4">SUBTOTAL(9,AQ9:AQ13)</f>
        <v>0</v>
      </c>
      <c r="AR14" s="1236">
        <f t="shared" si="4"/>
        <v>0.11952191235059761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576</v>
      </c>
      <c r="G17" s="552">
        <f>IF(ISNUMBER(IF(D_I="SI",Datos!I17,Datos!I17+Datos!AC17)),IF(D_I="SI",Datos!I17,Datos!I17+Datos!AC17)," - ")</f>
        <v>558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1246</v>
      </c>
      <c r="Z17" s="805">
        <f>IF(ISNUMBER(Datos!Q17),Datos!Q17," - ")</f>
        <v>44</v>
      </c>
      <c r="AA17" s="551">
        <f>IF(ISNUMBER(IF(D_I="SI",Datos!L17,Datos!L17+Datos!AF17)),IF(D_I="SI",Datos!L17,Datos!L17+Datos!AF17)," - ")</f>
        <v>707</v>
      </c>
      <c r="AB17" s="549"/>
      <c r="AC17" s="549"/>
      <c r="AD17" s="563"/>
      <c r="AE17" s="563">
        <f>IF(ISNUMBER(Datos!R17),Datos!R17," - ")</f>
        <v>66</v>
      </c>
      <c r="AF17" s="693" t="str">
        <f>IF(ISNUMBER(Datos!BV17),Datos!BV17," - ")</f>
        <v xml:space="preserve"> - </v>
      </c>
      <c r="AG17" s="552"/>
      <c r="AH17" s="553"/>
      <c r="AI17" s="554"/>
      <c r="AJ17" s="552">
        <f>IF(ISNUMBER(Datos!M17),Datos!M17," - ")</f>
        <v>142</v>
      </c>
      <c r="AK17" s="693">
        <f>IF(ISNUMBER(Datos!N17),Datos!N17," - ")</f>
        <v>793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6.2415730337078656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6.3249999999999993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576</v>
      </c>
      <c r="G23" s="1197">
        <f>SUBTOTAL(9,G16:G22)</f>
        <v>645</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1286</v>
      </c>
      <c r="Z23" s="1240">
        <f t="shared" si="6"/>
        <v>44</v>
      </c>
      <c r="AA23" s="1240">
        <f t="shared" si="6"/>
        <v>730</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145</v>
      </c>
      <c r="AK23" s="1240">
        <f t="shared" si="6"/>
        <v>830</v>
      </c>
      <c r="AL23" s="1240">
        <f t="shared" si="6"/>
        <v>0</v>
      </c>
      <c r="AM23" s="1240">
        <f t="shared" si="6"/>
        <v>0</v>
      </c>
      <c r="AN23" s="1240">
        <f t="shared" si="6"/>
        <v>0</v>
      </c>
      <c r="AO23" s="1242">
        <f>IF(ISNUMBER(((NºAsuntos!I23/NºAsuntos!G23)*11)/factor_trimestre),((NºAsuntos!I23/NºAsuntos!G23)*11)/factor_trimestre," - ")</f>
        <v>6.2441679626749602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576</v>
      </c>
      <c r="G31" s="1117">
        <f t="shared" si="12"/>
        <v>659</v>
      </c>
      <c r="H31" s="1118">
        <f t="shared" si="12"/>
        <v>0</v>
      </c>
      <c r="I31" s="1117">
        <f t="shared" si="12"/>
        <v>0</v>
      </c>
      <c r="J31" s="1119">
        <f t="shared" si="12"/>
        <v>0</v>
      </c>
      <c r="K31" s="1117">
        <f t="shared" si="12"/>
        <v>0</v>
      </c>
      <c r="L31" s="1120">
        <f t="shared" si="12"/>
        <v>0</v>
      </c>
      <c r="M31" s="1117">
        <f t="shared" si="12"/>
        <v>0</v>
      </c>
      <c r="N31" s="1118">
        <f t="shared" si="12"/>
        <v>408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1291</v>
      </c>
      <c r="Z31" s="1124">
        <f t="shared" si="13"/>
        <v>138</v>
      </c>
      <c r="AA31" s="1125">
        <f t="shared" si="13"/>
        <v>735</v>
      </c>
      <c r="AB31" s="1125">
        <f t="shared" si="13"/>
        <v>0</v>
      </c>
      <c r="AC31" s="1125">
        <f t="shared" si="13"/>
        <v>0</v>
      </c>
      <c r="AD31" s="1126">
        <f t="shared" si="13"/>
        <v>0</v>
      </c>
      <c r="AE31" s="1126">
        <f t="shared" si="13"/>
        <v>2595</v>
      </c>
      <c r="AF31" s="1127">
        <f t="shared" si="13"/>
        <v>0</v>
      </c>
      <c r="AG31" s="1128">
        <f t="shared" si="13"/>
        <v>0</v>
      </c>
      <c r="AH31" s="1129">
        <f t="shared" si="13"/>
        <v>0</v>
      </c>
      <c r="AI31" s="1127">
        <f t="shared" si="13"/>
        <v>0</v>
      </c>
      <c r="AJ31" s="1117">
        <f t="shared" si="13"/>
        <v>485</v>
      </c>
      <c r="AK31" s="1117">
        <f t="shared" si="13"/>
        <v>1171</v>
      </c>
      <c r="AL31" s="1117">
        <f t="shared" si="13"/>
        <v>0</v>
      </c>
      <c r="AM31" s="1130">
        <f t="shared" si="13"/>
        <v>0</v>
      </c>
      <c r="AN31" s="1120">
        <f>IF(ISNUMBER(Datos!K31/Datos!J31),Datos!K31/Datos!J31," - ")</f>
        <v>0.80589070262597584</v>
      </c>
      <c r="AO31" s="1120">
        <f>IF(ISNUMBER(FIND("06",Criterios!A8,1)),(IF(ISNUMBER(((Datos!R31/Datos!Q31)*11)/factor_trimestre),((Datos!R31/Datos!Q31)*11)/factor_trimestre," - ")),(IF(ISNUMBER(((Datos!L31/Datos!K31)*11)/factor_trimestre),((Datos!L31/Datos!K31)*11)/factor_trimestre," - ")))</f>
        <v>10.709379128137384</v>
      </c>
      <c r="AP31" s="1131" t="str">
        <f>IF(ISNUMBER(Datos!CI31/Datos!CJ31),Datos!CI31/Datos!CJ31," - ")</f>
        <v xml:space="preserve"> - </v>
      </c>
      <c r="AQ31" s="1131">
        <f>IF(OR(ISNUMBER(FIND("01",Criterios!A8,1)),ISNUMBER(FIND("02",Criterios!A8,1)),ISNUMBER(FIND("03",Criterios!A8,1)),ISNUMBER(FIND("04",Criterios!A8,1))),(J31-Y31+K31)/(F31-K31),(I31-Y31+K31)/(F31-K31))</f>
        <v>-2.2413194444444446</v>
      </c>
      <c r="AR31" s="1131">
        <f>IF(ISNUMBER((Datos!P31-Datos!Q31+O31)/(Datos!R31-Datos!P31+Datos!Q31-O31)),(Datos!P31-Datos!Q31+O31)/(Datos!R31-Datos!P31+Datos!Q31-O31)," - ")</f>
        <v>0.11612903225806452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297.44512098872963</v>
      </c>
      <c r="G33" s="674">
        <f>IF(ISNUMBER(STDEV(G8:G30)),STDEV(G8:G30),"-")</f>
        <v>284.95304542193981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147.4049330440277</v>
      </c>
      <c r="AK33" s="276"/>
      <c r="AL33" s="276">
        <f>IF(ISNUMBER(STDEV(AL8:AL30)),STDEV(AL8:AL30),"-")</f>
        <v>0</v>
      </c>
      <c r="AM33" s="278">
        <f>IF(ISNUMBER(STDEV(AM8:AM30)),STDEV(AM8:AM30),"-")</f>
        <v>0</v>
      </c>
      <c r="AN33" s="660">
        <f>IF(ISNUMBER(STDEV(AN8:AN30)),STDEV(AN8:AN30),"-")</f>
        <v>0</v>
      </c>
      <c r="AO33" s="661">
        <f>IF(ISNUMBER(STDEV(AO8:AO30)),STDEV(AO8:AO30),"-")</f>
        <v>4.4876860407603205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LdNPgXmBkzqTwwg20yKuzqXymGJpnEfVcw0B0zzbc2jp8lqoPGWm30cwTh6MonaJol9IQfekN4NKYM9n4LYcA==" saltValue="S66kLeDIIDlMmETK2eUK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SazRTLOvmYMSS4Wwa8Y5DntAt+fs6MHTkJ2x9H1A5pINHhqBm+Cfp5bURPiJ9O2X9iH22mCy01iISNVuFt2rQ==" saltValue="8JVNJkp3k/wI+pur0tDg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Ari4NEBOT1s7gKzQTQ+5bsTffSoUaFTSHgqvJ7O7QUBgfPcP7gvMuuWVCillDNDj8jDexGjG9pdKxfgWrMRGg==" saltValue="Hm8sx3P0EETFnYIwXf3f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ALMANSA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0.31164069660861593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0.22036324986565184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TGG3qF0LKThgUEK3mS/VRzLp0J+vqRxMA5/A+HnHg0F2TVjHcBwZtihG8wCSXKlRXtl1AIjTZIi7ZP8pPeLHNw==" saltValue="EUCTjgSCiUnaZ5So7dfV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IcEBcS6BB0BEXAeHfSAkCLlIodYekGJ0IB2crqiYSDJYdP2delKWft8MWLb9pUNHM/vtc9k52t8nKg7986/aw==" saltValue="uTAG4HoL52ihCsG067Kj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ALMANSA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10</v>
      </c>
      <c r="F10" s="452">
        <f>IF(ISNUMBER(E10/B10),E10/B10," - ")</f>
        <v>10</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1138</v>
      </c>
      <c r="D12" s="452">
        <f>IF(ISNUMBER(C12/Datos!BH12),C12/Datos!BH12," - ")</f>
        <v>569</v>
      </c>
      <c r="E12" s="451">
        <f>IF(ISNUMBER(IF(J_V="SI",Datos!J12,Datos!J12+Datos!Z12)),IF(J_V="SI",Datos!J12,Datos!J12+Datos!Z12)," - ")</f>
        <v>1479</v>
      </c>
      <c r="F12" s="452">
        <f>IF(ISNUMBER(E12/B12),E12/B12," - ")</f>
        <v>739.5</v>
      </c>
      <c r="G12" s="451">
        <f>IF(ISNUMBER(IF(J_V="SI",Datos!K12,Datos!K12+Datos!AA12)),IF(J_V="SI",Datos!K12,Datos!K12+Datos!AA12)," - ")</f>
        <v>1086</v>
      </c>
      <c r="H12" s="452">
        <f>IF(ISNUMBER(G12/B12),G12/B12," - ")</f>
        <v>543</v>
      </c>
      <c r="I12" s="451">
        <f>IF(ISNUMBER(IF(J_V="SI",Datos!L12,Datos!L12+Datos!AB12)),IF(J_V="SI",Datos!L12,Datos!L12+Datos!AB12)," - ")</f>
        <v>1520</v>
      </c>
      <c r="J12" s="452">
        <f>IF(ISNUMBER(I12/B12),I12/B12," - ")</f>
        <v>760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1152</v>
      </c>
      <c r="D14" s="1147" t="str">
        <f>IF(ISNUMBER(C14/Datos!BI14),C14/Datos!BI14," - ")</f>
        <v xml:space="preserve"> - </v>
      </c>
      <c r="E14" s="1146">
        <f>SUBTOTAL(9,E8:E13)</f>
        <v>1489</v>
      </c>
      <c r="F14" s="1147">
        <f>IF(ISNUMBER(E14/B14),E14/B14," - ")</f>
        <v>744.5</v>
      </c>
      <c r="G14" s="1146">
        <f>SUBTOTAL(9,G8:G13)</f>
        <v>1091</v>
      </c>
      <c r="H14" s="1147">
        <f>IF(ISNUMBER(G14/B14),G14/B14," - ")</f>
        <v>545.5</v>
      </c>
      <c r="I14" s="1146">
        <f>SUBTOTAL(9,I8:I13)</f>
        <v>1525</v>
      </c>
      <c r="J14" s="1147">
        <f>IF(ISNUMBER(I14/B14),I14/B14," - ")</f>
        <v>762.5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558</v>
      </c>
      <c r="D17" s="452">
        <f>IF(ISNUMBER(C17/Datos!BH17),C17/Datos!BH17," - ")</f>
        <v>279</v>
      </c>
      <c r="E17" s="451">
        <f>IF(ISNUMBER(IF(D_I="SI",Datos!J17,Datos!J17+Datos!AD17)),IF(D_I="SI",Datos!J17,Datos!J17+Datos!AD17)," - ")</f>
        <v>1377</v>
      </c>
      <c r="F17" s="452">
        <f>IF(ISNUMBER(E17/B17),E17/B17," - ")</f>
        <v>688.5</v>
      </c>
      <c r="G17" s="451">
        <f>IF(ISNUMBER(IF(D_I="SI",Datos!K17,Datos!K17+Datos!AE17)),IF(D_I="SI",Datos!K17,Datos!K17+Datos!AE17)," - ")</f>
        <v>1246</v>
      </c>
      <c r="H17" s="452">
        <f>IF(ISNUMBER(G17/B17),G17/B17," - ")</f>
        <v>623</v>
      </c>
      <c r="I17" s="451">
        <f>IF(ISNUMBER(IF(D_I="SI",Datos!L17,Datos!L17+Datos!AF17)),IF(D_I="SI",Datos!L17,Datos!L17+Datos!AF17)," - ")</f>
        <v>707</v>
      </c>
      <c r="J17" s="452">
        <f>IF(ISNUMBER(I17/B17),I17/B17," - ")</f>
        <v>353.5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49</v>
      </c>
      <c r="F18" s="452">
        <f>IF(ISNUMBER(E18/B18),E18/B18," - ")</f>
        <v>49</v>
      </c>
      <c r="G18" s="451">
        <f>IF(ISNUMBER(IF(D_I="SI",Datos!K18,Datos!K18+Datos!AE18)),IF(D_I="SI",Datos!K18,Datos!K18+Datos!AE18)," - ")</f>
        <v>40</v>
      </c>
      <c r="H18" s="452">
        <f>IF(ISNUMBER(G18/B18),G18/B18," - ")</f>
        <v>40</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645</v>
      </c>
      <c r="D23" s="1147" t="str">
        <f>IF(ISNUMBER(C23/Datos!BI23),C23/Datos!BI23," - ")</f>
        <v xml:space="preserve"> - </v>
      </c>
      <c r="E23" s="1146">
        <f>SUBTOTAL(9,E15:E22)</f>
        <v>1426</v>
      </c>
      <c r="F23" s="1147">
        <f>IF(ISNUMBER(E23/B23),E23/B23," - ")</f>
        <v>713</v>
      </c>
      <c r="G23" s="1146">
        <f>SUBTOTAL(9,G15:G22)</f>
        <v>1286</v>
      </c>
      <c r="H23" s="1147">
        <f>IF(ISNUMBER(G23/B23),G23/B23," - ")</f>
        <v>643</v>
      </c>
      <c r="I23" s="1146">
        <f>SUBTOTAL(9,I15:I22)</f>
        <v>730</v>
      </c>
      <c r="J23" s="1147">
        <f>IF(ISNUMBER(I23/B23),I23/B23," - ")</f>
        <v>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1797</v>
      </c>
      <c r="D31" s="1085" t="str">
        <f>IF(ISNUMBER(C31/Datos!BI31),C31/Datos!BI31," - ")</f>
        <v xml:space="preserve"> - </v>
      </c>
      <c r="E31" s="1084">
        <f>SUBTOTAL(9,E9:E30)</f>
        <v>2915</v>
      </c>
      <c r="F31" s="1085">
        <f>IF(ISNUMBER(E31/B31),E31/B31," - ")</f>
        <v>1457.5</v>
      </c>
      <c r="G31" s="1084">
        <f>SUBTOTAL(9,G9:G30)</f>
        <v>2377</v>
      </c>
      <c r="H31" s="1085">
        <f>IF(ISNUMBER(G31/B31),G31/B31," - ")</f>
        <v>1188.5</v>
      </c>
      <c r="I31" s="1084">
        <f>SUBTOTAL(9,I9:I30)</f>
        <v>2255</v>
      </c>
      <c r="J31" s="1085">
        <f>IF(ISNUMBER(I31/B31),I31/B31," - ")</f>
        <v>1127.5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wpQ6UVGm2K5587O7/CgylFnUh5AxBOm/3xSQGp5rja597JI/R3dC0uVNoAz+0hSgVShPbhAUxCjHGkbn4rU6g==" saltValue="Bxbn04aDIxBz3z8jp5iT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ALMANSA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336</v>
      </c>
      <c r="AM12" s="914">
        <f>IF(ISNUMBER(Datos!N12+DatosP!N17),Datos!N12+DatosP!N17," - ")</f>
        <v>341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15.395948434622468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0.11952191235059761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14</v>
      </c>
      <c r="H14" s="1256">
        <f t="shared" si="0"/>
        <v>0</v>
      </c>
      <c r="I14" s="1258">
        <f t="shared" si="0"/>
        <v>0</v>
      </c>
      <c r="J14" s="1257">
        <f t="shared" si="0"/>
        <v>0</v>
      </c>
      <c r="K14" s="1257">
        <f t="shared" si="0"/>
        <v>0</v>
      </c>
      <c r="L14" s="1259">
        <f t="shared" si="0"/>
        <v>0</v>
      </c>
      <c r="M14" s="1259">
        <f t="shared" si="0"/>
        <v>0</v>
      </c>
      <c r="N14" s="1257">
        <f t="shared" si="0"/>
        <v>364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94</v>
      </c>
      <c r="AE14" s="1257">
        <f t="shared" si="1"/>
        <v>0</v>
      </c>
      <c r="AF14" s="1257">
        <f t="shared" si="1"/>
        <v>5</v>
      </c>
      <c r="AG14" s="1257">
        <f t="shared" si="1"/>
        <v>0</v>
      </c>
      <c r="AH14" s="1257">
        <f t="shared" si="1"/>
        <v>2529</v>
      </c>
      <c r="AI14" s="1257">
        <f t="shared" si="1"/>
        <v>0</v>
      </c>
      <c r="AJ14" s="1257">
        <f t="shared" si="1"/>
        <v>0</v>
      </c>
      <c r="AK14" s="1257">
        <f t="shared" si="1"/>
        <v>0</v>
      </c>
      <c r="AL14" s="1257">
        <f t="shared" si="1"/>
        <v>340</v>
      </c>
      <c r="AM14" s="1257">
        <f t="shared" si="1"/>
        <v>341</v>
      </c>
      <c r="AN14" s="1257">
        <f t="shared" si="1"/>
        <v>0</v>
      </c>
      <c r="AO14" s="1257">
        <f t="shared" si="1"/>
        <v>0</v>
      </c>
      <c r="AP14" s="1262">
        <f>IF(ISNUMBER(((Datos!L14/Datos!K14)*11)/factor_trimestre),((Datos!L14/Datos!K14)*11)/factor_trimestre," - ")</f>
        <v>16.539086294416244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0.11952191235059761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6.2441679626749602</v>
      </c>
      <c r="AQ23" s="1262">
        <f>IF(ISNUMBER(((Datos!M23/Datos!L23)*11)/factor_trimestre),((Datos!M23/Datos!L23)*11)/factor_trimestre," - ")</f>
        <v>2.1849315068493151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-3.1073446327683617E-2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14</v>
      </c>
      <c r="H31" s="1278">
        <f t="shared" si="8"/>
        <v>0</v>
      </c>
      <c r="I31" s="1279">
        <f t="shared" si="8"/>
        <v>0</v>
      </c>
      <c r="J31" s="1280">
        <f t="shared" si="8"/>
        <v>0</v>
      </c>
      <c r="K31" s="1280">
        <f t="shared" si="8"/>
        <v>0</v>
      </c>
      <c r="L31" s="1280">
        <f t="shared" si="8"/>
        <v>0</v>
      </c>
      <c r="M31" s="1280">
        <f t="shared" si="8"/>
        <v>0</v>
      </c>
      <c r="N31" s="1279">
        <f t="shared" si="8"/>
        <v>364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94</v>
      </c>
      <c r="AE31" s="1284">
        <f t="shared" si="9"/>
        <v>0</v>
      </c>
      <c r="AF31" s="1285">
        <f t="shared" si="9"/>
        <v>5</v>
      </c>
      <c r="AG31" s="1285">
        <f t="shared" si="9"/>
        <v>0</v>
      </c>
      <c r="AH31" s="1285">
        <f t="shared" si="9"/>
        <v>2529</v>
      </c>
      <c r="AI31" s="1285">
        <f t="shared" si="9"/>
        <v>0</v>
      </c>
      <c r="AJ31" s="1286">
        <f t="shared" si="9"/>
        <v>0</v>
      </c>
      <c r="AK31" s="1286">
        <f t="shared" si="9"/>
        <v>0</v>
      </c>
      <c r="AL31" s="1278">
        <f t="shared" si="9"/>
        <v>340</v>
      </c>
      <c r="AM31" s="1278">
        <f t="shared" si="9"/>
        <v>341</v>
      </c>
      <c r="AN31" s="1278">
        <f t="shared" si="9"/>
        <v>0</v>
      </c>
      <c r="AO31" s="1278">
        <f t="shared" si="9"/>
        <v>0</v>
      </c>
      <c r="AP31" s="1278">
        <f>IF(ISNUMBER(((Datos!L31/Datos!K31)*11)/factor_trimestre),((Datos!L31/Datos!K31)*11)/factor_trimestre," - ")</f>
        <v>10.709379128137384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0.11612903225806452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174.03754384231772</v>
      </c>
      <c r="AM33" s="1006"/>
      <c r="AN33" s="1006">
        <f>IF(ISNUMBER(STDEV(AN8:AN30)),STDEV(AN8:AN30),"-")</f>
        <v>0</v>
      </c>
      <c r="AO33" s="1012">
        <f>IF(ISNUMBER(STDEV(AO8:AO30)),STDEV(AO8:AO30),"-")</f>
        <v>0</v>
      </c>
      <c r="AP33" s="1065">
        <f>IF(ISNUMBER(STDEV(AP8:AP30)),STDEV(AP8:AP30),"-")</f>
        <v>4.6874919681223064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U8NLE60n4FvgzDwyrNjkqTDEOyT7YvAEmWWLs3EAwzus/8bt+Lvfm92ilRj7TdXSclXC3SBM+7iXRr1IcQdZw==" saltValue="0XSLRWaNFHQnTNr7S9XK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ALMANSA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6yI1GKbk7fAqiozusdQY3eCz4hoe8/8oWzifNBReUCmWZjRi59PvVMUW2qQAKyvMaSa/WiVTyOn7SfcpM+Ytbw==" saltValue="5xWoFye8mnBQVCYHGDLp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ALMANSA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336</v>
      </c>
      <c r="E12" s="452">
        <f t="shared" si="0"/>
        <v>168</v>
      </c>
      <c r="F12" s="451">
        <f>IF(ISNUMBER(Datos!N12),Datos!N12," - ")</f>
        <v>341</v>
      </c>
      <c r="G12" s="452">
        <f t="shared" si="1"/>
        <v>170.5</v>
      </c>
      <c r="H12" s="451">
        <f>IF(ISNUMBER(Datos!O12),Datos!O12," - ")</f>
        <v>442</v>
      </c>
      <c r="I12" s="452">
        <f t="shared" si="2"/>
        <v>221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340</v>
      </c>
      <c r="E14" s="1147">
        <f t="shared" si="0"/>
        <v>113.33333333333333</v>
      </c>
      <c r="F14" s="1146">
        <f>SUBTOTAL(9,F9:F13)</f>
        <v>341</v>
      </c>
      <c r="G14" s="1147">
        <f t="shared" si="1"/>
        <v>113.66666666666667</v>
      </c>
      <c r="H14" s="1146">
        <f>SUBTOTAL(9,H9:H13)</f>
        <v>442</v>
      </c>
      <c r="I14" s="1147">
        <f>IF(ISNUMBER(H14/B14),H14/B14," - ")</f>
        <v>147.33333333333334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142</v>
      </c>
      <c r="E17" s="452">
        <f t="shared" si="3"/>
        <v>71</v>
      </c>
      <c r="F17" s="451">
        <f>IF(ISNUMBER(Datos!N17),Datos!N17," - ")</f>
        <v>793</v>
      </c>
      <c r="G17" s="452">
        <f t="shared" si="4"/>
        <v>396.5</v>
      </c>
      <c r="H17" s="451">
        <f>IF(ISNUMBER(Datos!O17),Datos!O17," - ")</f>
        <v>21</v>
      </c>
      <c r="I17" s="452">
        <f t="shared" si="5"/>
        <v>10.5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145</v>
      </c>
      <c r="E23" s="1147">
        <f t="shared" si="3"/>
        <v>48.333333333333336</v>
      </c>
      <c r="F23" s="1146">
        <f>SUBTOTAL(9,F16:F22)</f>
        <v>830</v>
      </c>
      <c r="G23" s="1147">
        <f t="shared" si="4"/>
        <v>276.66666666666669</v>
      </c>
      <c r="H23" s="1146">
        <f>SUBTOTAL(9,H16:H22)</f>
        <v>21</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485</v>
      </c>
      <c r="E31" s="1085">
        <f>IF(ISNUMBER(D31/B31),D31/B31," - ")</f>
        <v>242.5</v>
      </c>
      <c r="F31" s="1084">
        <f>SUBTOTAL(9,F8:F30)</f>
        <v>1171</v>
      </c>
      <c r="G31" s="1085">
        <f>IF(ISNUMBER(F31/B31),F31/B31," - ")</f>
        <v>585.5</v>
      </c>
      <c r="H31" s="1084">
        <f>SUBTOTAL(9,H8:H30)</f>
        <v>463</v>
      </c>
      <c r="I31" s="1085">
        <f>IF(ISNUMBER(H31/B31),H31/B31," - ")</f>
        <v>231.5</v>
      </c>
    </row>
    <row r="34" spans="1:1">
      <c r="A34" s="439" t="str">
        <f>Criterios!A4</f>
        <v>Fecha Informe: 14 abr. 2023</v>
      </c>
    </row>
    <row r="39" spans="1:1">
      <c r="A39" s="462"/>
    </row>
  </sheetData>
  <sheetProtection algorithmName="SHA-512" hashValue="R22ZQHalwmyf8GlnDfmDJ14Jhgw+u3Y1CzX8rpXXvO3stQTyLiHpx1Ng4VFuoNzLS82A2+M0nXseUtk7j9oWww==" saltValue="JglZK3zXYKYTL3/Q1L2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ALMANSA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364</v>
      </c>
      <c r="C12" s="489">
        <f>IF(ISNUMBER(Datos!Q12),Datos!Q12," - ")</f>
        <v>94</v>
      </c>
      <c r="D12" s="456">
        <f>IF(ISNUMBER(Datos!R12),Datos!R12," - ")</f>
        <v>2529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364</v>
      </c>
      <c r="C14" s="1150">
        <f>SUBTOTAL(9,C9:C13)</f>
        <v>94</v>
      </c>
      <c r="D14" s="1148">
        <f>SUBTOTAL(9,D9:D13)</f>
        <v>2529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44</v>
      </c>
      <c r="D17" s="456">
        <f>IF(ISNUMBER(Datos!R17),Datos!R17," - ")</f>
        <v>66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44</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408</v>
      </c>
      <c r="C31" s="1089">
        <f>SUBTOTAL(9,C8:C30)</f>
        <v>138</v>
      </c>
      <c r="D31" s="1090">
        <f>SUBTOTAL(9,D8:D30)</f>
        <v>2595</v>
      </c>
    </row>
    <row r="32" spans="1:4" ht="7.5" customHeight="1"/>
    <row r="33" spans="1:1" ht="6" customHeight="1"/>
    <row r="34" spans="1:1">
      <c r="A34" s="439" t="str">
        <f>Criterios!A4</f>
        <v>Fecha Informe: 14 abr. 2023</v>
      </c>
    </row>
    <row r="39" spans="1:1">
      <c r="A39" s="462"/>
    </row>
  </sheetData>
  <sheetProtection algorithmName="SHA-512" hashValue="SjBAzNj70EqELst5X2Nhp+yD3l0Uow8EsPqbwrid5x8HpLiUAnzlHnHeQadZbkrGBmdJiKOydW90y2RSPavFXQ==" saltValue="kPSs1Sd99PjuqRAHFUeL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ALMANSA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-0.58333333333333337</v>
      </c>
      <c r="D10" s="515">
        <f>IF(ISNUMBER((Datos!K10-Datos!U10)/Datos!U10),(Datos!K10-Datos!U10)/Datos!U10," - ")</f>
        <v>-0.70588235294117652</v>
      </c>
      <c r="E10" s="515">
        <f>IF(ISNUMBER((Datos!L10-Datos!V10)/Datos!V10),(Datos!L10-Datos!V10)/Datos!V10," - ")</f>
        <v>-0.6428571428571429</v>
      </c>
      <c r="F10" s="515">
        <f>IF(ISNUMBER((Datos!M10-Datos!W10)/Datos!W10),(Datos!M10-Datos!W10)/Datos!W10," - ")</f>
        <v>-0.69230769230769229</v>
      </c>
      <c r="G10" s="516" t="str">
        <f>IF(ISNUMBER((Datos!N10-Datos!X10)/Datos!X10),(Datos!N10-Datos!X10)/Datos!X10," - ")</f>
        <v xml:space="preserve"> - </v>
      </c>
      <c r="H10" s="514">
        <f>IF(ISNUMBER(((NºAsuntos!G10/NºAsuntos!E10)-Datos!BD10)/Datos!BD10),((NºAsuntos!G10/NºAsuntos!E10)-Datos!BD10)/Datos!BD10," - ")</f>
        <v>-0.29411764705882354</v>
      </c>
      <c r="I10" s="515">
        <f>IF(ISNUMBER(((NºAsuntos!I10/NºAsuntos!G10)-Datos!BE10)/Datos!BE10),((NºAsuntos!I10/NºAsuntos!G10)-Datos!BE10)/Datos!BE10," - ")</f>
        <v>0.21428571428571436</v>
      </c>
      <c r="J10" s="521">
        <f>IF(ISNUMBER((('Resol  Asuntos'!D10/NºAsuntos!G10)-Datos!BF10)/Datos!BF10),(('Resol  Asuntos'!D10/NºAsuntos!G10)-Datos!BF10)/Datos!BF10," - ")</f>
        <v>4.6153846153846281E-2</v>
      </c>
      <c r="K10" s="522">
        <f>IF(ISNUMBER((((NºAsuntos!C10+NºAsuntos!E10)/NºAsuntos!G10)-Datos!BG10)/Datos!BG10),(((NºAsuntos!C10+NºAsuntos!E10)/NºAsuntos!G10)-Datos!BG10)/Datos!BG10," - ")</f>
        <v>1.6322580645161291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-0.10110584518167456</v>
      </c>
      <c r="C12" s="515">
        <f>IF(ISNUMBER(
   IF(J_V="SI",(Datos!J12-Datos!T12)/Datos!T12,(Datos!J12+Datos!Z12-(Datos!T12+Datos!AH12))/(Datos!T12+Datos!AH12))
     ),IF(J_V="SI",(Datos!J12-Datos!T12)/Datos!T12,(Datos!J12+Datos!Z12-(Datos!T12+Datos!AH12))/(Datos!T12+Datos!AH12))," - ")</f>
        <v>1.3540961408259986E-3</v>
      </c>
      <c r="D12" s="515">
        <f>IF(ISNUMBER(
   IF(J_V="SI",(Datos!K12-Datos!U12)/Datos!U12,(Datos!K12+Datos!AA12-(Datos!U12+Datos!AI12))/(Datos!U12+Datos!AI12))
     ),IF(J_V="SI",(Datos!K12-Datos!U12)/Datos!U12,(Datos!K12+Datos!AA12-(Datos!U12+Datos!AI12))/(Datos!U12+Datos!AI12))," - ")</f>
        <v>-0.3233644859813084</v>
      </c>
      <c r="E12" s="515">
        <f>IF(ISNUMBER(
   IF(J_V="SI",(Datos!L12-Datos!V12)/Datos!V12,(Datos!L12+Datos!AB12-(Datos!V12+Datos!AJ12))/(Datos!V12+Datos!AJ12))
     ),IF(J_V="SI",(Datos!L12-Datos!V12)/Datos!V12,(Datos!L12+Datos!AB12-(Datos!V12+Datos!AJ12))/(Datos!V12+Datos!AJ12))," - ")</f>
        <v>0.33567662565905099</v>
      </c>
      <c r="F12" s="515">
        <f>IF(ISNUMBER((Datos!M12-Datos!W12)/Datos!W12),(Datos!M12-Datos!W12)/Datos!W12," - ")</f>
        <v>-5.9171597633136093E-3</v>
      </c>
      <c r="G12" s="516">
        <f>IF(ISNUMBER((Datos!N12-Datos!X12)/Datos!X12),(Datos!N12-Datos!X12)/Datos!X12," - ")</f>
        <v>-0.32741617357001973</v>
      </c>
      <c r="H12" s="514">
        <f>IF(ISNUMBER(((NºAsuntos!G12/NºAsuntos!E12)-Datos!BD12)/Datos!BD12),((NºAsuntos!G12/NºAsuntos!E12)-Datos!BD12)/Datos!BD12," - ")</f>
        <v>-0.32427947653441008</v>
      </c>
      <c r="I12" s="515">
        <f>IF(ISNUMBER(((NºAsuntos!I12/NºAsuntos!G12)-Datos!BE12)/Datos!BE12),((NºAsuntos!I12/NºAsuntos!G12)-Datos!BE12)/Datos!BE12," - ")</f>
        <v>0.9739972230043985</v>
      </c>
      <c r="J12" s="521">
        <f>IF(ISNUMBER((('Resol  Asuntos'!D12/NºAsuntos!G12)-Datos!BF12)/Datos!BF12),(('Resol  Asuntos'!D12/NºAsuntos!G12)-Datos!BF12)/Datos!BF12," - ")</f>
        <v>-2.0562947464775001E-2</v>
      </c>
      <c r="K12" s="522">
        <f>IF(ISNUMBER((((NºAsuntos!C12+NºAsuntos!E12)/NºAsuntos!G12)-Datos!BG12)/Datos!BG12),(((NºAsuntos!C12+NºAsuntos!E12)/NºAsuntos!G12)-Datos!BG12)/Datos!BG12," - ")</f>
        <v>0.4100130316647298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-9.5051060487038486E-2</v>
      </c>
      <c r="C14" s="1152">
        <f>IF(ISNUMBER(
   IF(J_V="SI",(Datos!J14-Datos!T14)/Datos!T14,(Datos!J14+Datos!Z14-(Datos!T14+Datos!AH14))/(Datos!T14+Datos!AH14))
     ),IF(J_V="SI",(Datos!J14-Datos!T14)/Datos!T14,(Datos!J14+Datos!Z14-(Datos!T14+Datos!AH14))/(Datos!T14+Datos!AH14))," - ")</f>
        <v>-7.9946702198534312E-3</v>
      </c>
      <c r="D14" s="1152">
        <f>IF(ISNUMBER(
   IF(J_V="SI",(Datos!K14-Datos!U14)/Datos!U14,(Datos!K14+Datos!AA14-(Datos!U14+Datos!AI14))/(Datos!U14+Datos!AI14))
     ),IF(J_V="SI",(Datos!K14-Datos!U14)/Datos!U14,(Datos!K14+Datos!AA14-(Datos!U14+Datos!AI14))/(Datos!U14+Datos!AI14))," - ")</f>
        <v>-0.3273736128236745</v>
      </c>
      <c r="E14" s="1152">
        <f>IF(ISNUMBER(
   IF(J_V="SI",(Datos!L14-Datos!V14)/Datos!V14,(Datos!L14+Datos!AB14-(Datos!V14+Datos!AJ14))/(Datos!V14+Datos!AJ14))
     ),IF(J_V="SI",(Datos!L14-Datos!V14)/Datos!V14,(Datos!L14+Datos!AB14-(Datos!V14+Datos!AJ14))/(Datos!V14+Datos!AJ14))," - ")</f>
        <v>0.32378472222222221</v>
      </c>
      <c r="F14" s="1153">
        <f>IF(ISNUMBER((Datos!M14-Datos!W14)/Datos!W14),(Datos!M14-Datos!W14)/Datos!W14," - ")</f>
        <v>-3.1339031339031341E-2</v>
      </c>
      <c r="G14" s="1154">
        <f>IF(ISNUMBER((Datos!N14-Datos!X14)/Datos!X14),(Datos!N14-Datos!X14)/Datos!X14," - ")</f>
        <v>-0.32741617357001973</v>
      </c>
      <c r="H14" s="1154">
        <f>IF(ISNUMBER(((NºAsuntos!G14/NºAsuntos!E14)-Datos!BD14)/Datos!BD14),((NºAsuntos!G14/NºAsuntos!E14)-Datos!BD14)/Datos!BD14," - ")</f>
        <v>-0.32195284946160874</v>
      </c>
      <c r="I14" s="1154">
        <f>IF(ISNUMBER(((NºAsuntos!I14/NºAsuntos!G14)-Datos!BE14)/Datos!BE14),((NºAsuntos!I14/NºAsuntos!G14)-Datos!BE14)/Datos!BE14," - ")</f>
        <v>0.96808324422038927</v>
      </c>
      <c r="J14" s="1154">
        <f>IF(ISNUMBER((('Resol  Asuntos'!D14/NºAsuntos!G14)-Datos!BF14)/Datos!BF14),(('Resol  Asuntos'!D14/NºAsuntos!G14)-Datos!BF14)/Datos!BF14," - ")</f>
        <v>-2.79207501938942E-2</v>
      </c>
      <c r="K14" s="1154">
        <f>IF(ISNUMBER((((NºAsuntos!C14+NºAsuntos!E14)/NºAsuntos!G14)-Datos!BG14)/Datos!BG14),(((NºAsuntos!C14+NºAsuntos!E14)/NºAsuntos!G14)-Datos!BG14)/Datos!BG14," - ")</f>
        <v>0.41542885124869733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-0.11568938193343899</v>
      </c>
      <c r="C17" s="515">
        <f>IF(ISNUMBER(
   IF(D_I="SI",(Datos!J17-Datos!T17)/Datos!T17,(Datos!J17+Datos!AD17-(Datos!T17+Datos!AL17))/(Datos!T17+Datos!AL17))
     ),IF(D_I="SI",(Datos!J17-Datos!T17)/Datos!T17,(Datos!J17+Datos!AD17-(Datos!T17+Datos!AL17))/(Datos!T17+Datos!AL17))," - ")</f>
        <v>4.2392127176381529E-2</v>
      </c>
      <c r="D17" s="515">
        <f>IF(ISNUMBER(
   IF(D_I="SI",(Datos!K17-Datos!U17)/Datos!U17,(Datos!K17+Datos!AE17-(Datos!U17+Datos!AM17))/(Datos!U17+Datos!AM17))
     ),IF(D_I="SI",(Datos!K17-Datos!U17)/Datos!U17,(Datos!K17+Datos!AE17-(Datos!U17+Datos!AM17))/(Datos!U17+Datos!AM17))," - ")</f>
        <v>-6.9454817027632565E-2</v>
      </c>
      <c r="E17" s="515">
        <f>IF(ISNUMBER(
   IF(D_I="SI",(Datos!L17-Datos!V17)/Datos!V17,(Datos!L17+Datos!AF17-(Datos!V17+Datos!AN17))/(Datos!V17+Datos!AN17))
     ),IF(D_I="SI",(Datos!L17-Datos!V17)/Datos!V17,(Datos!L17+Datos!AF17-(Datos!V17+Datos!AN17))/(Datos!V17+Datos!AN17))," - ")</f>
        <v>0.26702508960573479</v>
      </c>
      <c r="F17" s="515">
        <f>IF(ISNUMBER((Datos!M17-Datos!W17)/Datos!W17),(Datos!M17-Datos!W17)/Datos!W17," - ")</f>
        <v>-0.32380952380952382</v>
      </c>
      <c r="G17" s="516">
        <f>IF(ISNUMBER((Datos!N17-Datos!X17)/Datos!X17),(Datos!N17-Datos!X17)/Datos!X17," - ")</f>
        <v>0.22755417956656346</v>
      </c>
      <c r="H17" s="514">
        <f>IF(ISNUMBER(((NºAsuntos!G17/NºAsuntos!E17)-Datos!BD17)/Datos!BD17),((NºAsuntos!G17/NºAsuntos!E17)-Datos!BD17)/Datos!BD17," - ")</f>
        <v>-0.10729833935621094</v>
      </c>
      <c r="I17" s="515">
        <f>IF(ISNUMBER(((NºAsuntos!I17/NºAsuntos!G17)-Datos!BE17)/Datos!BE17),((NºAsuntos!I17/NºAsuntos!G17)-Datos!BE17)/Datos!BE17," - ")</f>
        <v>0.36159437799524796</v>
      </c>
      <c r="J17" s="521">
        <f>IF(ISNUMBER((('Resol  Asuntos'!D17/NºAsuntos!G17)-Datos!BF17)/Datos!BF17),(('Resol  Asuntos'!D17/NºAsuntos!G17)-Datos!BF17)/Datos!BF17," - ")</f>
        <v>-0.27333944813880606</v>
      </c>
      <c r="K17" s="522">
        <f>IF(ISNUMBER((((NºAsuntos!C17+NºAsuntos!E17)/NºAsuntos!G17)-Datos!BG17)/Datos!BG17),(((NºAsuntos!C17+NºAsuntos!E17)/NºAsuntos!G17)-Datos!BG17)/Datos!BG17," - ")</f>
        <v>6.5279796989711258E-2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0.58181818181818179</v>
      </c>
      <c r="C18" s="515">
        <f>IF(ISNUMBER(
   IF(D_I="SI",(Datos!J18-Datos!T18)/Datos!T18,(Datos!J18+Datos!AD18-(Datos!T18+Datos!AL18))/(Datos!T18+Datos!AL18))
     ),IF(D_I="SI",(Datos!J18-Datos!T18)/Datos!T18,(Datos!J18+Datos!AD18-(Datos!T18+Datos!AL18))/(Datos!T18+Datos!AL18))," - ")</f>
        <v>-0.66206896551724137</v>
      </c>
      <c r="D18" s="515">
        <f>IF(ISNUMBER(
   IF(D_I="SI",(Datos!K18-Datos!U18)/Datos!U18,(Datos!K18+Datos!AE18-(Datos!U18+Datos!AM18))/(Datos!U18+Datos!AM18))
     ),IF(D_I="SI",(Datos!K18-Datos!U18)/Datos!U18,(Datos!K18+Datos!AE18-(Datos!U18+Datos!AM18))/(Datos!U18+Datos!AM18))," - ")</f>
        <v>-0.64601769911504425</v>
      </c>
      <c r="E18" s="515">
        <f>IF(ISNUMBER(
   IF(D_I="SI",(Datos!L18-Datos!V18)/Datos!V18,(Datos!L18+Datos!AF18-(Datos!V18+Datos!AN18))/(Datos!V18+Datos!AN18))
     ),IF(D_I="SI",(Datos!L18-Datos!V18)/Datos!V18,(Datos!L18+Datos!AF18-(Datos!V18+Datos!AN18))/(Datos!V18+Datos!AN18))," - ")</f>
        <v>-0.73563218390804597</v>
      </c>
      <c r="F18" s="515">
        <f>IF(ISNUMBER((Datos!M18-Datos!W18)/Datos!W18),(Datos!M18-Datos!W18)/Datos!W18," - ")</f>
        <v>-0.625</v>
      </c>
      <c r="G18" s="516">
        <f>IF(ISNUMBER((Datos!N18-Datos!X18)/Datos!X18),(Datos!N18-Datos!X18)/Datos!X18," - ")</f>
        <v>-0.3728813559322034</v>
      </c>
      <c r="H18" s="514">
        <f>IF(ISNUMBER(((NºAsuntos!G18/NºAsuntos!E18)-Datos!BD18)/Datos!BD18),((NºAsuntos!G18/NºAsuntos!E18)-Datos!BD18)/Datos!BD18," - ")</f>
        <v>4.7498645475889487E-2</v>
      </c>
      <c r="I18" s="515">
        <f>IF(ISNUMBER(((NºAsuntos!I18/NºAsuntos!G18)-Datos!BE18)/Datos!BE18),((NºAsuntos!I18/NºAsuntos!G18)-Datos!BE18)/Datos!BE18," - ")</f>
        <v>-0.2531609195402299</v>
      </c>
      <c r="J18" s="521">
        <f>IF(ISNUMBER((('Resol  Asuntos'!D18/NºAsuntos!G18)-Datos!BF18)/Datos!BF18),(('Resol  Asuntos'!D18/NºAsuntos!G18)-Datos!BF18)/Datos!BF18," - ")</f>
        <v>5.9374999999999976E-2</v>
      </c>
      <c r="K18" s="522">
        <f>IF(ISNUMBER((((NºAsuntos!C18+NºAsuntos!E18)/NºAsuntos!G18)-Datos!BG18)/Datos!BG18),(((NºAsuntos!C18+NºAsuntos!E18)/NºAsuntos!G18)-Datos!BG18)/Datos!BG18," - ")</f>
        <v>0.92099999999999982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-5.9766763848396499E-2</v>
      </c>
      <c r="C23" s="1152">
        <f>IF(ISNUMBER(
   IF(Criterios!B14="SI",(Datos!J23-Datos!T23)/Datos!T23,(Datos!J23+Datos!AD23-(Datos!T23+Datos!AL23))/(Datos!T23+Datos!AL23))
     ),IF(Criterios!B14="SI",(Datos!J23-Datos!T23)/Datos!T23,(Datos!J23+Datos!AD23-(Datos!T23+Datos!AL23))/(Datos!T23+Datos!AL23))," - ")</f>
        <v>-2.7285129604365622E-2</v>
      </c>
      <c r="D23" s="1152">
        <f>IF(ISNUMBER(
   IF(Criterios!B14="SI",(Datos!K23-Datos!U23)/Datos!U23,(Datos!K23+Datos!AE23-(Datos!U23+Datos!AM23))/(Datos!U23+Datos!AM23))
     ),IF(Criterios!B14="SI",(Datos!K23-Datos!U23)/Datos!U23,(Datos!K23+Datos!AE23-(Datos!U23+Datos!AM23))/(Datos!U23+Datos!AM23))," - ")</f>
        <v>-0.11432506887052342</v>
      </c>
      <c r="E23" s="1152">
        <f>IF(ISNUMBER(
   IF(Criterios!B14="SI",(Datos!L23-Datos!V23)/Datos!V23,(Datos!L23+Datos!AF23-(Datos!V23+Datos!AN23))/(Datos!V23+Datos!AN23))
     ),IF(Criterios!B14="SI",(Datos!L23-Datos!V23)/Datos!V23,(Datos!L23+Datos!AF23-(Datos!V23+Datos!AN23))/(Datos!V23+Datos!AN23))," - ")</f>
        <v>0.13178294573643412</v>
      </c>
      <c r="F23" s="1153">
        <f>IF(ISNUMBER((Datos!M23-Datos!W23)/Datos!W23),(Datos!M23-Datos!W23)/Datos!W23," - ")</f>
        <v>-0.33486238532110091</v>
      </c>
      <c r="G23" s="1154">
        <f>IF(ISNUMBER((Datos!N23-Datos!X23)/Datos!X23),(Datos!N23-Datos!X23)/Datos!X23," - ")</f>
        <v>0.1773049645390071</v>
      </c>
      <c r="H23" s="1154">
        <f>IF(ISNUMBER(((NºAsuntos!G23/NºAsuntos!E23)-Datos!BD23)/Datos!BD23),((NºAsuntos!G23/NºAsuntos!E23)-Datos!BD23)/Datos!BD23," - ")</f>
        <v>-8.9481452289051439E-2</v>
      </c>
      <c r="I23" s="1154">
        <f>IF(ISNUMBER(((NºAsuntos!I23/NºAsuntos!G23)-Datos!BE23)/Datos!BE23),((NºAsuntos!I23/NºAsuntos!G23)-Datos!BE23)/Datos!BE23," - ")</f>
        <v>0.27787623422185231</v>
      </c>
      <c r="J23" s="1154">
        <f>IF(ISNUMBER((('Resol  Asuntos'!D23/NºAsuntos!G23)-Datos!BF23)/Datos!BF23),(('Resol  Asuntos'!D23/NºAsuntos!G23)-Datos!BF23)/Datos!BF23," - ")</f>
        <v>-0.2490048083096722</v>
      </c>
      <c r="K23" s="1154">
        <f>IF(ISNUMBER((((NºAsuntos!C23+NºAsuntos!E23)/NºAsuntos!G23)-Datos!BG23)/Datos!BG23),(((NºAsuntos!C23+NºAsuntos!E23)/NºAsuntos!G23)-Datos!BG23)/Datos!BG23," - ")</f>
        <v>8.6584435181277258E-2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-8.2695252679938741E-2</v>
      </c>
      <c r="C31" s="1092">
        <f>IF(ISNUMBER(
   IF(J_V="SI",(Datos!J31-Datos!T31)/Datos!T31,(Datos!J31+Datos!Z31-(Datos!T31+Datos!AH31))/(Datos!T31+Datos!AH31))
     ),IF(J_V="SI",(Datos!J31-Datos!T31)/Datos!T31,(Datos!J31+Datos!Z31-(Datos!T31+Datos!AH31))/(Datos!T31+Datos!AH31))," - ")</f>
        <v>-1.7526120660599932E-2</v>
      </c>
      <c r="D31" s="1092">
        <f>IF(ISNUMBER(
   IF(J_V="SI",(Datos!K31-Datos!U31)/Datos!U31,(Datos!K31+Datos!AA31-(Datos!U31+Datos!AI31))/(Datos!U31+Datos!AI31))
     ),IF(J_V="SI",(Datos!K31-Datos!U31)/Datos!U31,(Datos!K31+Datos!AA31-(Datos!U31+Datos!AI31))/(Datos!U31+Datos!AI31))," - ")</f>
        <v>-0.22674040338321405</v>
      </c>
      <c r="E31" s="1092">
        <f>IF(ISNUMBER(
   IF(J_V="SI",(Datos!L31-Datos!V31)/Datos!V31,(Datos!L31+Datos!AB31-(Datos!V31+Datos!AJ31))/(Datos!V31+Datos!AJ31))
     ),IF(J_V="SI",(Datos!L31-Datos!V31)/Datos!V31,(Datos!L31+Datos!AB31-(Datos!V31+Datos!AJ31))/(Datos!V31+Datos!AJ31))," - ")</f>
        <v>0.25486922648859212</v>
      </c>
      <c r="F31" s="1093">
        <f>IF(ISNUMBER((Datos!M31-Datos!W31)/Datos!W31),(Datos!M31-Datos!W31)/Datos!W31," - ")</f>
        <v>-0.14762741652021089</v>
      </c>
      <c r="G31" s="1094">
        <f>IF(ISNUMBER((Datos!N31-Datos!X31)/Datos!X31),(Datos!N31-Datos!X31)/Datos!X31," - ")</f>
        <v>-3.3828382838283828E-2</v>
      </c>
      <c r="H31" s="1095">
        <f>IF(ISNUMBER((Tasas!B31-Datos!BD31)/Datos!BD31),(Tasas!B31-Datos!BD31)/Datos!BD31," - ")</f>
        <v>-0.21294640714854077</v>
      </c>
      <c r="I31" s="1096">
        <f>IF(ISNUMBER((Tasas!C31-Datos!BE31)/Datos!BE31),(Tasas!C31-Datos!BE31)/Datos!BE31," - ")</f>
        <v>0.62283045949765758</v>
      </c>
      <c r="J31" s="1097">
        <f>IF(ISNUMBER((Tasas!D31-Datos!BF31)/Datos!BF31),(Tasas!D31-Datos!BF31)/Datos!BF31," - ")</f>
        <v>-0.15011520750462032</v>
      </c>
      <c r="K31" s="1097">
        <f>IF(ISNUMBER((Tasas!E31-Datos!BG31)/Datos!BG31),(Tasas!E31-Datos!BG31)/Datos!BG31," - ")</f>
        <v>0.23704516366840095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pS+WCC+Uv9pe96LPXdx7zqRoWUTlfVm2cYxlbN+paoLlfK5dM/pvD0vmvLUk6j8MHQo/hfP2sq1vkOgk6KlEg==" saltValue="rWfcRx7eshxUNILerHoj6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ALMANSA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v>
      </c>
      <c r="D10" s="499">
        <f>IF(ISNUMBER('Resol  Asuntos'!D10/NºAsuntos!G10),'Resol  Asuntos'!D10/NºAsuntos!G10," - ")</f>
        <v>0.8</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0.73427991886409738</v>
      </c>
      <c r="C12" s="498">
        <f>IF(ISNUMBER(NºAsuntos!I12/NºAsuntos!G12),NºAsuntos!I12/NºAsuntos!G12," - ")</f>
        <v>1.3996316758747698</v>
      </c>
      <c r="D12" s="499">
        <f>IF(ISNUMBER('Resol  Asuntos'!D12/NºAsuntos!G12),'Resol  Asuntos'!D12/NºAsuntos!G12," - ")</f>
        <v>0.30939226519337015</v>
      </c>
      <c r="E12" s="500">
        <f>IF(ISNUMBER((NºAsuntos!C12+NºAsuntos!E12)/NºAsuntos!G12),(NºAsuntos!C12+NºAsuntos!E12)/NºAsuntos!G12," - ")</f>
        <v>2.4097605893186005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0.73270651443922097</v>
      </c>
      <c r="C14" s="1156">
        <f>IF(ISNUMBER(NºAsuntos!I14/NºAsuntos!G14),NºAsuntos!I14/NºAsuntos!G14," - ")</f>
        <v>1.3978001833180569</v>
      </c>
      <c r="D14" s="1157">
        <f>IF(ISNUMBER('Resol  Asuntos'!D14/NºAsuntos!G14),'Resol  Asuntos'!D14/NºAsuntos!G14," - ")</f>
        <v>0.31164069660861593</v>
      </c>
      <c r="E14" s="1158">
        <f>IF(ISNUMBER((NºAsuntos!C14+NºAsuntos!E14)/NºAsuntos!G14),(NºAsuntos!C14+NºAsuntos!E14)/NºAsuntos!G14," - ")</f>
        <v>2.4207149404216315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0.90486564996368923</v>
      </c>
      <c r="C17" s="498">
        <f>IF(ISNUMBER(NºAsuntos!I17/NºAsuntos!G17),NºAsuntos!I17/NºAsuntos!G17," - ")</f>
        <v>0.56741573033707871</v>
      </c>
      <c r="D17" s="499">
        <f>IF(ISNUMBER('Resol  Asuntos'!D17/NºAsuntos!G17),'Resol  Asuntos'!D17/NºAsuntos!G17," - ")</f>
        <v>0.11396468699839486</v>
      </c>
      <c r="E17" s="500">
        <f>IF(ISNUMBER((NºAsuntos!C17+NºAsuntos!E17)/NºAsuntos!G17),(NºAsuntos!C17+NºAsuntos!E17)/NºAsuntos!G17," - ")</f>
        <v>1.5529695024077046</v>
      </c>
      <c r="G17" s="523"/>
    </row>
    <row r="18" spans="1:7">
      <c r="A18" s="450" t="str">
        <f>Datos!A18</f>
        <v>Jdos. Violencia contra la mujer</v>
      </c>
      <c r="B18" s="497">
        <f>IF(ISNUMBER(NºAsuntos!G18/NºAsuntos!E18),NºAsuntos!G18/NºAsuntos!E18," - ")</f>
        <v>0.81632653061224492</v>
      </c>
      <c r="C18" s="498">
        <f>IF(ISNUMBER(NºAsuntos!I18/NºAsuntos!G18),NºAsuntos!I18/NºAsuntos!G18," - ")</f>
        <v>0.57499999999999996</v>
      </c>
      <c r="D18" s="499">
        <f>IF(ISNUMBER('Resol  Asuntos'!D18/NºAsuntos!G18),'Resol  Asuntos'!D18/NºAsuntos!G18," - ")</f>
        <v>7.4999999999999997E-2</v>
      </c>
      <c r="E18" s="500">
        <f>IF(ISNUMBER((NºAsuntos!C18+NºAsuntos!E18)/NºAsuntos!G18),(NºAsuntos!C18+NºAsuntos!E18)/NºAsuntos!G18," - ")</f>
        <v>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0.90182328190743333</v>
      </c>
      <c r="C23" s="1156">
        <f>IF(ISNUMBER(NºAsuntos!I23/NºAsuntos!G23),NºAsuntos!I23/NºAsuntos!G23," - ")</f>
        <v>0.56765163297045096</v>
      </c>
      <c r="D23" s="1159">
        <f>IF(ISNUMBER('Resol  Asuntos'!D23/NºAsuntos!G23),'Resol  Asuntos'!D23/NºAsuntos!G23," - ")</f>
        <v>0.11275272161741835</v>
      </c>
      <c r="E23" s="1158">
        <f>IF(ISNUMBER((NºAsuntos!C23+NºAsuntos!E23)/NºAsuntos!G23),(NºAsuntos!C23+NºAsuntos!E23)/NºAsuntos!G23," - ")</f>
        <v>1.6104199066874028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0.81543739279588334</v>
      </c>
      <c r="C31" s="1099">
        <f>IF(ISNUMBER(NºAsuntos!I31/NºAsuntos!G31),NºAsuntos!I31/NºAsuntos!G31," - ")</f>
        <v>0.94867480016827932</v>
      </c>
      <c r="D31" s="1100">
        <f>IF(ISNUMBER('Resol  Asuntos'!D31/NºAsuntos!G31),'Resol  Asuntos'!D31/NºAsuntos!G31," - ")</f>
        <v>0.20403870424905343</v>
      </c>
      <c r="E31" s="1101">
        <f>IF(ISNUMBER((NºAsuntos!C31+NºAsuntos!E31)/NºAsuntos!G31),(NºAsuntos!C31+NºAsuntos!E31)/NºAsuntos!G31," - ")</f>
        <v>1.9823306689103912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gsfZ12OYdDhto6Ig8o4rPezxKc/XUhgt9SxKm21bXdcdEQwulAkZK9duhtKibC3v2WIdR9fDAj6J+/4D7Dq6Q==" saltValue="RzMhU6bfT8sTcqntSXPT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ALMANSA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11</v>
      </c>
      <c r="AN10" s="267">
        <f>IF(ISNUMBER('Resol  Asuntos'!D10/NºAsuntos!G10),'Resol  Asuntos'!D10/NºAsuntos!G10," - ")</f>
        <v>0.8</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v>
      </c>
      <c r="Y12" s="374">
        <f t="shared" si="0"/>
        <v>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336</v>
      </c>
      <c r="AJ12" s="243" t="str">
        <f>IF(ISNUMBER(Datos!BW12),Datos!BW12," - ")</f>
        <v xml:space="preserve"> - </v>
      </c>
      <c r="AK12" s="242" t="str">
        <f>IF(ISNUMBER(Datos!BX12),Datos!BX12," - ")</f>
        <v xml:space="preserve"> - </v>
      </c>
      <c r="AL12" s="266">
        <f>IF(ISNUMBER(NºAsuntos!G12/NºAsuntos!E12),NºAsuntos!G12/NºAsuntos!E12," - ")</f>
        <v>0.73427991886409738</v>
      </c>
      <c r="AM12" s="284">
        <f>IF(ISNUMBER(((NºAsuntos!I12/NºAsuntos!G12)*11)/factor_trimestre),((NºAsuntos!I12/NºAsuntos!G12)*11)/factor_trimestre," - ")</f>
        <v>15.395948434622468</v>
      </c>
      <c r="AN12" s="267">
        <f>IF(ISNUMBER('Resol  Asuntos'!D12/NºAsuntos!G12),'Resol  Asuntos'!D12/NºAsuntos!G12," - ")</f>
        <v>0.30939226519337015</v>
      </c>
      <c r="AO12" s="268">
        <f>IF(ISNUMBER((NºAsuntos!C12+NºAsuntos!E12)/NºAsuntos!G12),(NºAsuntos!C12+NºAsuntos!E12)/NºAsuntos!G12," - ")</f>
        <v>2.4097605893186005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14</v>
      </c>
      <c r="H14" s="1162">
        <f t="shared" si="5"/>
        <v>0</v>
      </c>
      <c r="I14" s="1164">
        <f t="shared" si="5"/>
        <v>0</v>
      </c>
      <c r="J14" s="1164">
        <f t="shared" si="5"/>
        <v>0</v>
      </c>
      <c r="K14" s="1164">
        <f t="shared" si="5"/>
        <v>0</v>
      </c>
      <c r="L14" s="1164">
        <f t="shared" si="5"/>
        <v>364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94</v>
      </c>
      <c r="Y14" s="1165">
        <f t="shared" si="6"/>
        <v>99</v>
      </c>
      <c r="Z14" s="1165">
        <f t="shared" si="6"/>
        <v>0</v>
      </c>
      <c r="AA14" s="1165">
        <f t="shared" si="6"/>
        <v>5</v>
      </c>
      <c r="AB14" s="1165">
        <f t="shared" si="6"/>
        <v>2529</v>
      </c>
      <c r="AC14" s="1165">
        <f t="shared" si="6"/>
        <v>5</v>
      </c>
      <c r="AD14" s="1165">
        <f t="shared" si="6"/>
        <v>0</v>
      </c>
      <c r="AE14" s="1169">
        <f t="shared" si="6"/>
        <v>0</v>
      </c>
      <c r="AF14" s="1162">
        <f t="shared" si="6"/>
        <v>0</v>
      </c>
      <c r="AG14" s="1170">
        <f t="shared" si="6"/>
        <v>0</v>
      </c>
      <c r="AH14" s="1167">
        <f t="shared" si="6"/>
        <v>0</v>
      </c>
      <c r="AI14" s="1162">
        <f t="shared" si="6"/>
        <v>340</v>
      </c>
      <c r="AJ14" s="1164">
        <f t="shared" si="6"/>
        <v>0</v>
      </c>
      <c r="AK14" s="1167">
        <f>SUBTOTAL(9,AK9:AK13)</f>
        <v>0</v>
      </c>
      <c r="AL14" s="1171">
        <f>IF(ISNUMBER(NºAsuntos!G14/NºAsuntos!E14),NºAsuntos!G14/NºAsuntos!E14," - ")</f>
        <v>0.73270651443922097</v>
      </c>
      <c r="AM14" s="1171">
        <f>IF(ISNUMBER(((NºAsuntos!I14/NºAsuntos!G14)*11)/factor_trimestre),((NºAsuntos!I14/NºAsuntos!G14)*11)/factor_trimestre," - ")</f>
        <v>15.375802016498625</v>
      </c>
      <c r="AN14" s="1172">
        <f>IF(ISNUMBER('Resol  Asuntos'!D14/NºAsuntos!G14),'Resol  Asuntos'!D14/NºAsuntos!G14," - ")</f>
        <v>0.31164069660861593</v>
      </c>
      <c r="AO14" s="1173">
        <f>IF(ISNUMBER((NºAsuntos!C14+NºAsuntos!E14)/NºAsuntos!G14),(NºAsuntos!C14+NºAsuntos!E14)/NºAsuntos!G14," - ")</f>
        <v>2.4207149404216315</v>
      </c>
      <c r="AP14" s="1174" t="str">
        <f t="shared" si="2"/>
        <v xml:space="preserve"> - </v>
      </c>
      <c r="AQ14" s="1174" t="str">
        <f>IF(ISNUMBER((H14-W14+K14)/(F14)),(H14-W14+K14)/(F14)," - ")</f>
        <v xml:space="preserve"> - </v>
      </c>
      <c r="AR14" s="1175">
        <f>IF(ISNUMBER((Datos!P14-Datos!Q14)/(Datos!R14-Datos!P14+Datos!Q14)),(Datos!P14-Datos!Q14)/(Datos!R14-Datos!P14+Datos!Q14)," - ")</f>
        <v>0.11952191235059761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576</v>
      </c>
      <c r="G17" s="373">
        <f>IF(ISNUMBER(IF(D_I="SI",Datos!I17,Datos!I17+Datos!AC17)),IF(D_I="SI",Datos!I17,Datos!I17+Datos!AC17)," - ")</f>
        <v>558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1246</v>
      </c>
      <c r="X17" s="240">
        <f>IF(ISNUMBER(Datos!Q17),Datos!Q17," - ")</f>
        <v>44</v>
      </c>
      <c r="Y17" s="374">
        <f t="shared" ref="Y17:Y22" si="9">SUM(W17:X17)</f>
        <v>1290</v>
      </c>
      <c r="Z17" s="375" t="str">
        <f>IF(ISNUMBER(Datos!CC17),Datos!CC17," - ")</f>
        <v xml:space="preserve"> - </v>
      </c>
      <c r="AA17" s="372">
        <f>IF(ISNUMBER(IF(D_I="SI",Datos!L17,Datos!L17+Datos!AF17)),IF(D_I="SI",Datos!L17,Datos!L17+Datos!AF17)," - ")</f>
        <v>707</v>
      </c>
      <c r="AB17" s="374">
        <f>IF(ISNUMBER(Datos!R17),Datos!R17," - ")</f>
        <v>66</v>
      </c>
      <c r="AC17" s="374">
        <f t="shared" si="8"/>
        <v>773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142</v>
      </c>
      <c r="AJ17" s="245" t="str">
        <f>IF(ISNUMBER(Datos!BW17),Datos!BW17," - ")</f>
        <v xml:space="preserve"> - </v>
      </c>
      <c r="AK17" s="246" t="str">
        <f>IF(ISNUMBER(Datos!BX17),Datos!BX17," - ")</f>
        <v xml:space="preserve"> - </v>
      </c>
      <c r="AL17" s="266">
        <f>IF(ISNUMBER(NºAsuntos!G17/NºAsuntos!E17),NºAsuntos!G17/NºAsuntos!E17," - ")</f>
        <v>0.90486564996368923</v>
      </c>
      <c r="AM17" s="284">
        <f>IF(ISNUMBER(((NºAsuntos!I17/NºAsuntos!G17)*11)/factor_trimestre),((NºAsuntos!I17/NºAsuntos!G17)*11)/factor_trimestre," - ")</f>
        <v>6.2415730337078656</v>
      </c>
      <c r="AN17" s="267">
        <f>IF(ISNUMBER('Resol  Asuntos'!D17/NºAsuntos!G17),'Resol  Asuntos'!D17/NºAsuntos!G17," - ")</f>
        <v>0.11396468699839486</v>
      </c>
      <c r="AO17" s="268">
        <f>IF(ISNUMBER((NºAsuntos!C17+NºAsuntos!E17)/NºAsuntos!G17),(NºAsuntos!C17+NºAsuntos!E17)/NºAsuntos!G17," - ")</f>
        <v>1.5529695024077046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0.81632653061224492</v>
      </c>
      <c r="AM18" s="284">
        <f>IF(ISNUMBER(((NºAsuntos!I18/NºAsuntos!G18)*11)/factor_trimestre),((NºAsuntos!I18/NºAsuntos!G18)*11)/factor_trimestre," - ")</f>
        <v>6.3249999999999993</v>
      </c>
      <c r="AN18" s="267">
        <f>IF(ISNUMBER('Resol  Asuntos'!D18/NºAsuntos!G18),'Resol  Asuntos'!D18/NºAsuntos!G18," - ")</f>
        <v>7.4999999999999997E-2</v>
      </c>
      <c r="AO18" s="268">
        <f>IF(ISNUMBER((NºAsuntos!C18+NºAsuntos!E18)/NºAsuntos!G18),(NºAsuntos!C18+NºAsuntos!E18)/NºAsuntos!G18," - ")</f>
        <v>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576</v>
      </c>
      <c r="G23" s="1163">
        <f>SUBTOTAL(9,G16:G22)</f>
        <v>645</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1286</v>
      </c>
      <c r="X23" s="1164">
        <f t="shared" si="14"/>
        <v>44</v>
      </c>
      <c r="Y23" s="1165">
        <f t="shared" si="14"/>
        <v>1330</v>
      </c>
      <c r="Z23" s="1165">
        <f t="shared" si="14"/>
        <v>0</v>
      </c>
      <c r="AA23" s="1165">
        <f t="shared" si="14"/>
        <v>730</v>
      </c>
      <c r="AB23" s="1165">
        <f t="shared" si="14"/>
        <v>66</v>
      </c>
      <c r="AC23" s="1165">
        <f t="shared" si="14"/>
        <v>796</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0.90182328190743333</v>
      </c>
      <c r="AM23" s="1171">
        <f>IF(ISNUMBER(((NºAsuntos!I23/NºAsuntos!G23)*11)/factor_trimestre),((NºAsuntos!I23/NºAsuntos!G23)*11)/factor_trimestre," - ")</f>
        <v>6.2441679626749602</v>
      </c>
      <c r="AN23" s="1172">
        <f>IF(ISNUMBER('Resol  Asuntos'!D23/NºAsuntos!G23),'Resol  Asuntos'!D23/NºAsuntos!G23," - ")</f>
        <v>0.11275272161741835</v>
      </c>
      <c r="AO23" s="1173">
        <f>IF(ISNUMBER((NºAsuntos!C23+NºAsuntos!E23)/NºAsuntos!G23),(NºAsuntos!C23+NºAsuntos!E23)/NºAsuntos!G23," - ")</f>
        <v>1.6104199066874028</v>
      </c>
      <c r="AP23" s="1174" t="str">
        <f t="shared" si="2"/>
        <v xml:space="preserve"> - </v>
      </c>
      <c r="AQ23" s="1174">
        <f>IF(ISNUMBER((H23-W23+K23)/(F23)),(H23-W23+K23)/(F23)," - ")</f>
        <v>-2.2326388888888888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576</v>
      </c>
      <c r="G31" s="1118">
        <f t="shared" si="20"/>
        <v>659</v>
      </c>
      <c r="H31" s="1117">
        <f t="shared" si="20"/>
        <v>0</v>
      </c>
      <c r="I31" s="1119">
        <f t="shared" si="20"/>
        <v>0</v>
      </c>
      <c r="J31" s="1119">
        <f t="shared" si="20"/>
        <v>0</v>
      </c>
      <c r="K31" s="1180">
        <f t="shared" si="20"/>
        <v>0</v>
      </c>
      <c r="L31" s="1119">
        <f t="shared" si="20"/>
        <v>408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1291</v>
      </c>
      <c r="X31" s="1118">
        <f t="shared" si="21"/>
        <v>138</v>
      </c>
      <c r="Y31" s="1125">
        <f t="shared" si="21"/>
        <v>1429</v>
      </c>
      <c r="Z31" s="1125">
        <f t="shared" si="21"/>
        <v>0</v>
      </c>
      <c r="AA31" s="1125">
        <f t="shared" si="21"/>
        <v>735</v>
      </c>
      <c r="AB31" s="1125">
        <f t="shared" si="21"/>
        <v>2595</v>
      </c>
      <c r="AC31" s="1125">
        <f t="shared" si="21"/>
        <v>801</v>
      </c>
      <c r="AD31" s="1125">
        <f t="shared" si="21"/>
        <v>0</v>
      </c>
      <c r="AE31" s="1127">
        <f t="shared" si="21"/>
        <v>0</v>
      </c>
      <c r="AF31" s="1128">
        <f t="shared" si="21"/>
        <v>0</v>
      </c>
      <c r="AG31" s="1129">
        <f t="shared" si="21"/>
        <v>0</v>
      </c>
      <c r="AH31" s="1127">
        <f t="shared" si="21"/>
        <v>0</v>
      </c>
      <c r="AI31" s="1117">
        <f t="shared" si="21"/>
        <v>485</v>
      </c>
      <c r="AJ31" s="1117">
        <f t="shared" si="21"/>
        <v>0</v>
      </c>
      <c r="AK31" s="1127">
        <f t="shared" si="21"/>
        <v>0</v>
      </c>
      <c r="AL31" s="1183">
        <f>IF(ISNUMBER(NºAsuntos!G31/NºAsuntos!E31),NºAsuntos!G31/NºAsuntos!E31," - ")</f>
        <v>0.81543739279588334</v>
      </c>
      <c r="AM31" s="1184">
        <f>IF(ISNUMBER(((NºAsuntos!I31/NºAsuntos!G31)*11)/factor_trimestre),((NºAsuntos!I31/NºAsuntos!G31)*11)/factor_trimestre," - ")</f>
        <v>10.435422801851072</v>
      </c>
      <c r="AN31" s="1184">
        <f>IF(ISNUMBER('Resol  Asuntos'!D31/NºAsuntos!G31),'Resol  Asuntos'!D31/NºAsuntos!G31," - ")</f>
        <v>0.20403870424905343</v>
      </c>
      <c r="AO31" s="1185">
        <f>IF(ISNUMBER((NºAsuntos!C31+NºAsuntos!E31)/NºAsuntos!G31),(NºAsuntos!C31+NºAsuntos!E31)/NºAsuntos!G31," - ")</f>
        <v>1.9823306689103912</v>
      </c>
      <c r="AP31" s="1186" t="str">
        <f t="shared" si="2"/>
        <v xml:space="preserve"> - </v>
      </c>
      <c r="AQ31" s="1187">
        <f>IF(OR(ISNUMBER(FIND("01",Criterios!A8,1)),ISNUMBER(FIND("02",Criterios!A8,1)),ISNUMBER(FIND("03",Criterios!A8,1)),ISNUMBER(FIND("04",Criterios!A8,1))),(I31-W31+K31)/(F31-K31),(H31-W31+K31)/(F31-K31))</f>
        <v>-2.2413194444444446</v>
      </c>
      <c r="AR31" s="1188">
        <f>IF(ISNUMBER((Datos!P31-Datos!Q31)/(Datos!R31-Datos!P31+Datos!Q31)),(Datos!P31-Datos!Q31)/(Datos!R31-Datos!P31+Datos!Q31)," - ")</f>
        <v>0.11612903225806452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297.44512098872963</v>
      </c>
      <c r="G33" s="277">
        <f>IF(ISNUMBER(STDEV(G8:G30)),STDEV(G8:G30),"-")</f>
        <v>284.95304542193981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613.13033648956684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147.4049330440277</v>
      </c>
      <c r="AJ33" s="276">
        <f t="shared" si="25"/>
        <v>0</v>
      </c>
      <c r="AK33" s="278">
        <f t="shared" si="25"/>
        <v>0</v>
      </c>
      <c r="AL33" s="273">
        <f t="shared" si="25"/>
        <v>0.15041875936892823</v>
      </c>
      <c r="AM33" s="274">
        <f t="shared" si="25"/>
        <v>4.4876860407603205</v>
      </c>
      <c r="AN33" s="274">
        <f t="shared" si="25"/>
        <v>0.27185467338139374</v>
      </c>
      <c r="AO33" s="275">
        <f t="shared" si="25"/>
        <v>1.2300484973368904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wlPmLoOzLmUSo6P5nlCg2Niv5BYnDdZ65rVVJzgbmZ9QTPRJHNMFaHebra51z8AEMs6eCc2sEvm5V6hALxJCUQ==" saltValue="MhTsqSoo+swjvAfapx/j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ALMANSA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-0.58333333333333337</v>
      </c>
      <c r="F10" s="393">
        <f>IF(ISNUMBER((Datos!K10-Datos!U10)/Datos!U10),(Datos!K10-Datos!U10)/Datos!U10," - ")</f>
        <v>-0.70588235294117652</v>
      </c>
      <c r="G10" s="394">
        <f>IF(ISNUMBER((Datos!L10-Datos!V10)/Datos!V10),(Datos!L10-Datos!V10)/Datos!V10," - ")</f>
        <v>-0.6428571428571429</v>
      </c>
      <c r="H10" s="244">
        <f>IF(ISNUMBER((Datos!M10-Datos!W10)/Datos!W10),(Datos!M10-Datos!W10)/Datos!W10," - ")</f>
        <v>-0.69230769230769229</v>
      </c>
      <c r="I10" s="395">
        <f>IF(ISNUMBER((Tasas!C10-Datos!BE10)/Datos!BE10),(Tasas!C10-Datos!BE10)/Datos!BE10," - ")</f>
        <v>0.21428571428571436</v>
      </c>
      <c r="J10" s="394">
        <f>IF(ISNUMBER((Tasas!D10-Datos!BF10)/Datos!BF10),(Tasas!D10-Datos!BF10)/Datos!BF10," - ")</f>
        <v>4.6153846153846281E-2</v>
      </c>
      <c r="K10" s="396">
        <f>IF(ISNUMBER((Tasas!E10-Datos!BG10)/Datos!BG10),(Tasas!E10-Datos!BG10)/Datos!BG10," - ")</f>
        <v>1.6322580645161291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-5.9171597633136093E-3</v>
      </c>
      <c r="I12" s="395">
        <f>IF(ISNUMBER((Tasas!C12-Datos!BE12)/Datos!BE12),(Tasas!C12-Datos!BE12)/Datos!BE12," - ")</f>
        <v>0.9739972230043985</v>
      </c>
      <c r="J12" s="394">
        <f>IF(ISNUMBER((Tasas!D12-Datos!BF12)/Datos!BF12),(Tasas!D12-Datos!BF12)/Datos!BF12," - ")</f>
        <v>-2.0562947464775001E-2</v>
      </c>
      <c r="K12" s="396">
        <f>IF(ISNUMBER((Tasas!E12-Datos!BG12)/Datos!BG12),(Tasas!E12-Datos!BG12)/Datos!BG12," - ")</f>
        <v>0.4100130316647298</v>
      </c>
      <c r="M12" t="e">
        <f>IF(Monitorios="SI",Datos!CE12,0)</f>
        <v>#REF!</v>
      </c>
      <c r="N12" t="e">
        <f>IF(Monitorios="SI",Datos!CF12,0)</f>
        <v>#REF!</v>
      </c>
      <c r="O12" t="e">
        <f>IF(Monitorios="SI",Datos!CG12,0)</f>
        <v>#REF!</v>
      </c>
      <c r="P12" t="e">
        <f>IF(Monitorios="SI",Datos!CH12,0)</f>
        <v>#REF!</v>
      </c>
      <c r="Q12">
        <f>IF(J_V="SI",0,Datos!AG12)</f>
        <v>41</v>
      </c>
      <c r="R12">
        <f>IF(J_V="SI",0,Datos!AH12)</f>
        <v>121</v>
      </c>
      <c r="S12">
        <f>IF(J_V="SI",0,Datos!AI12)</f>
        <v>122</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-3.1339031339031341E-2</v>
      </c>
      <c r="I14" s="402">
        <f>IF(ISNUMBER((Tasas!C14-Datos!BE14)/Datos!BE14),(Tasas!C14-Datos!BE14)/Datos!BE14," - ")</f>
        <v>0.96808324422038927</v>
      </c>
      <c r="J14" s="400">
        <f>IF(ISNUMBER((Tasas!D14-Datos!BF14)/Datos!BF14),(Tasas!D14-Datos!BF14)/Datos!BF14," - ")</f>
        <v>-2.79207501938942E-2</v>
      </c>
      <c r="K14" s="403">
        <f>IF(ISNUMBER((Tasas!E14-Datos!BG14)/Datos!BG14),(Tasas!E14-Datos!BG14)/Datos!BG14," - ")</f>
        <v>0.41542885124869733</v>
      </c>
      <c r="M14" t="e">
        <f>IF(Monitorios="SI",Datos!CE14,0)</f>
        <v>#REF!</v>
      </c>
      <c r="N14" t="e">
        <f>IF(Monitorios="SI",Datos!CF14,0)</f>
        <v>#REF!</v>
      </c>
      <c r="O14" t="e">
        <f>IF(Monitorios="SI",Datos!CG14,0)</f>
        <v>#REF!</v>
      </c>
      <c r="P14" t="e">
        <f>IF(Monitorios="SI",Datos!CH14,0)</f>
        <v>#REF!</v>
      </c>
      <c r="Q14">
        <f>IF(J_V="SI",0,Datos!AG14)</f>
        <v>41</v>
      </c>
      <c r="R14">
        <f>IF(J_V="SI",0,Datos!AH14)</f>
        <v>121</v>
      </c>
      <c r="S14">
        <f>IF(J_V="SI",0,Datos!AI14)</f>
        <v>122</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-0.11568938193343899</v>
      </c>
      <c r="E17" s="393">
        <f>IF(ISNUMBER(
   IF(D_I="SI",(Datos!J17-Datos!T17)/Datos!T17,(Datos!J17+Datos!AD17-(Datos!T17+Datos!AL17))/(Datos!T17+Datos!AL17))
     ),IF(D_I="SI",(Datos!J17-Datos!T17)/Datos!T17,(Datos!J17+Datos!AD17-(Datos!T17+Datos!AL17))/(Datos!T17+Datos!AL17))," - ")</f>
        <v>4.2392127176381529E-2</v>
      </c>
      <c r="F17" s="393">
        <f>IF(ISNUMBER(
   IF(D_I="SI",(Datos!K17-Datos!U17)/Datos!U17,(Datos!K17+Datos!AE17-(Datos!U17+Datos!AM17))/(Datos!U17+Datos!AM17))
     ),IF(D_I="SI",(Datos!K17-Datos!U17)/Datos!U17,(Datos!K17+Datos!AE17-(Datos!U17+Datos!AM17))/(Datos!U17+Datos!AM17))," - ")</f>
        <v>-6.9454817027632565E-2</v>
      </c>
      <c r="G17" s="394">
        <f>IF(ISNUMBER(
   IF(D_I="SI",(Datos!L17-Datos!V17)/Datos!V17,(Datos!L17+Datos!AF17-(Datos!V17+Datos!AN17))/(Datos!V17+Datos!AN17))
     ),IF(D_I="SI",(Datos!L17-Datos!V17)/Datos!V17,(Datos!L17+Datos!AF17-(Datos!V17+Datos!AN17))/(Datos!V17+Datos!AN17))," - ")</f>
        <v>0.26702508960573479</v>
      </c>
      <c r="H17" s="244">
        <f>IF(ISNUMBER((Datos!M17-Datos!W17)/Datos!W17),(Datos!M17-Datos!W17)/Datos!W17," - ")</f>
        <v>-0.32380952380952382</v>
      </c>
      <c r="I17" s="395">
        <f>IF(ISNUMBER((Tasas!C17-Datos!BE17)/Datos!BE17),(Tasas!C17-Datos!BE17)/Datos!BE17," - ")</f>
        <v>0.36159437799524796</v>
      </c>
      <c r="J17" s="394">
        <f>IF(ISNUMBER((Tasas!D17-Datos!BF17)/Datos!BF17),(Tasas!D17-Datos!BF17)/Datos!BF17," - ")</f>
        <v>-0.27333944813880606</v>
      </c>
      <c r="K17" s="396">
        <f>IF(ISNUMBER((Tasas!E17-Datos!BG17)/Datos!BG17),(Tasas!E17-Datos!BG17)/Datos!BG17," - ")</f>
        <v>6.5279796989711258E-2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0.58181818181818179</v>
      </c>
      <c r="E18" s="393">
        <f>IF(ISNUMBER(
   IF(D_I="SI",(Datos!J18-Datos!T18)/Datos!T18,(Datos!J18+Datos!AD18-(Datos!T18+Datos!AL18))/(Datos!T18+Datos!AL18))
     ),IF(D_I="SI",(Datos!J18-Datos!T18)/Datos!T18,(Datos!J18+Datos!AD18-(Datos!T18+Datos!AL18))/(Datos!T18+Datos!AL18))," - ")</f>
        <v>-0.66206896551724137</v>
      </c>
      <c r="F18" s="393">
        <f>IF(ISNUMBER(
   IF(D_I="SI",(Datos!K18-Datos!U18)/Datos!U18,(Datos!K18+Datos!AE18-(Datos!U18+Datos!AM18))/(Datos!U18+Datos!AM18))
     ),IF(D_I="SI",(Datos!K18-Datos!U18)/Datos!U18,(Datos!K18+Datos!AE18-(Datos!U18+Datos!AM18))/(Datos!U18+Datos!AM18))," - ")</f>
        <v>-0.64601769911504425</v>
      </c>
      <c r="G18" s="394">
        <f>IF(ISNUMBER(
   IF(D_I="SI",(Datos!L18-Datos!V18)/Datos!V18,(Datos!L18+Datos!AF18-(Datos!V18+Datos!AN18))/(Datos!V18+Datos!AN18))
     ),IF(D_I="SI",(Datos!L18-Datos!V18)/Datos!V18,(Datos!L18+Datos!AF18-(Datos!V18+Datos!AN18))/(Datos!V18+Datos!AN18))," - ")</f>
        <v>-0.73563218390804597</v>
      </c>
      <c r="H18" s="244">
        <f>IF(ISNUMBER((Datos!M18-Datos!W18)/Datos!W18),(Datos!M18-Datos!W18)/Datos!W18," - ")</f>
        <v>-0.625</v>
      </c>
      <c r="I18" s="395">
        <f>IF(ISNUMBER((Tasas!C18-Datos!BE18)/Datos!BE18),(Tasas!C18-Datos!BE18)/Datos!BE18," - ")</f>
        <v>-0.2531609195402299</v>
      </c>
      <c r="J18" s="394">
        <f>IF(ISNUMBER((Tasas!D18-Datos!BF18)/Datos!BF18),(Tasas!D18-Datos!BF18)/Datos!BF18," - ")</f>
        <v>5.9374999999999976E-2</v>
      </c>
      <c r="K18" s="396">
        <f>IF(ISNUMBER((Tasas!E18-Datos!BG18)/Datos!BG18),(Tasas!E18-Datos!BG18)/Datos!BG18," - ")</f>
        <v>0.92099999999999982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-5.9766763848396499E-2</v>
      </c>
      <c r="E23" s="399">
        <f>IF(ISNUMBER(
   IF(D_I="SI",(Datos!J23-Datos!T23)/Datos!T23,(Datos!J23+Datos!AD23-(Datos!T23+Datos!AL23))/(Datos!T23+Datos!AL23))
     ),IF(D_I="SI",(Datos!J23-Datos!T23)/Datos!T23,(Datos!J23+Datos!AD23-(Datos!T23+Datos!AL23))/(Datos!T23+Datos!AL23))," - ")</f>
        <v>-2.7285129604365622E-2</v>
      </c>
      <c r="F23" s="399">
        <f>IF(ISNUMBER(
   IF(D_I="SI",(Datos!K23-Datos!U23)/Datos!U23,(Datos!K23+Datos!AE23-(Datos!U23+Datos!AM23))/(Datos!U23+Datos!AM23))
     ),IF(D_I="SI",(Datos!K23-Datos!U23)/Datos!U23,(Datos!K23+Datos!AE23-(Datos!U23+Datos!AM23))/(Datos!U23+Datos!AM23))," - ")</f>
        <v>-0.11432506887052342</v>
      </c>
      <c r="G23" s="400">
        <f>IF(ISNUMBER(
   IF(D_I="SI",(Datos!L23-Datos!V23)/Datos!V23,(Datos!L23+Datos!AF23-(Datos!V23+Datos!AN23))/(Datos!V23+Datos!AN23))
     ),IF(D_I="SI",(Datos!L23-Datos!V23)/Datos!V23,(Datos!L23+Datos!AF23-(Datos!V23+Datos!AN23))/(Datos!V23+Datos!AN23))," - ")</f>
        <v>0.13178294573643412</v>
      </c>
      <c r="H23" s="401">
        <f>IF(ISNUMBER((Datos!M23-Datos!W23)/Datos!W23),(Datos!M23-Datos!W23)/Datos!W23," - ")</f>
        <v>-0.33486238532110091</v>
      </c>
      <c r="I23" s="402">
        <f>IF(ISNUMBER((Tasas!C23-Datos!BE23)/Datos!BE23),(Tasas!C23-Datos!BE23)/Datos!BE23," - ")</f>
        <v>0.27787623422185231</v>
      </c>
      <c r="J23" s="400">
        <f>IF(ISNUMBER((Tasas!D23-Datos!BF23)/Datos!BF23),(Tasas!D23-Datos!BF23)/Datos!BF23," - ")</f>
        <v>-0.2490048083096722</v>
      </c>
      <c r="K23" s="403">
        <f>IF(ISNUMBER((Tasas!E23-Datos!BG23)/Datos!BG23),(Tasas!E23-Datos!BG23)/Datos!BG23," - ")</f>
        <v>8.6584435181277258E-2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-8.2695252679938741E-2</v>
      </c>
      <c r="E31" s="409">
        <f>IF(ISNUMBER(
   IF(J_V="SI",(Datos!J31-Datos!T31)/Datos!T31,(Datos!J31+Datos!Z31-(Datos!T31+Datos!AH31))/(Datos!T31+Datos!AH31))
     ),IF(J_V="SI",(Datos!J31-Datos!T31)/Datos!T31,(Datos!J31+Datos!Z31-(Datos!T31+Datos!AH31))/(Datos!T31+Datos!AH31))," - ")</f>
        <v>-1.7526120660599932E-2</v>
      </c>
      <c r="F31" s="409">
        <f>IF(ISNUMBER(
   IF(J_V="SI",(Datos!K31-Datos!U31)/Datos!U31,(Datos!K31+Datos!AA31-(Datos!U31+Datos!AI31))/(Datos!U31+Datos!AI31))
     ),IF(J_V="SI",(Datos!K31-Datos!U31)/Datos!U31,(Datos!K31+Datos!AA31-(Datos!U31+Datos!AI31))/(Datos!U31+Datos!AI31))," - ")</f>
        <v>-0.22674040338321405</v>
      </c>
      <c r="G31" s="410">
        <f>IF(ISNUMBER(
   IF(J_V="SI",(Datos!L31-Datos!V31)/Datos!V31,(Datos!L31+Datos!AB31-(Datos!V31+Datos!AJ31))/(Datos!V31+Datos!AJ31))
     ),IF(J_V="SI",(Datos!L31-Datos!V31)/Datos!V31,(Datos!L31+Datos!AB31-(Datos!V31+Datos!AJ31))/(Datos!V31+Datos!AJ31))," - ")</f>
        <v>0.25486922648859212</v>
      </c>
      <c r="H31" s="411">
        <f>IF(ISNUMBER((Datos!M31-Datos!W31)/Datos!W31),(Datos!M31-Datos!W31)/Datos!W31," - ")</f>
        <v>-0.14762741652021089</v>
      </c>
      <c r="I31" s="408">
        <f>IF(ISNUMBER((Tasas!C31-Datos!BE31)/Datos!BE31),(Tasas!C31-Datos!BE31)/Datos!BE31," - ")</f>
        <v>0.62283045949765758</v>
      </c>
      <c r="J31" s="409">
        <f>IF(ISNUMBER((Tasas!D31-Datos!BF31)/Datos!BF31),(Tasas!D31-Datos!BF31)/Datos!BF31," - ")</f>
        <v>-0.15011520750462032</v>
      </c>
      <c r="K31" s="410">
        <f>IF(ISNUMBER((Tasas!E31-Datos!BG31)/Datos!BG31),(Tasas!E31-Datos!BG31)/Datos!BG31," - ")</f>
        <v>0.23704516366840095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0.53572534995281285</v>
      </c>
      <c r="E33" s="303">
        <f t="shared" si="1"/>
        <v>0.36640052380597954</v>
      </c>
      <c r="F33" s="303">
        <f t="shared" si="1"/>
        <v>0.338587624692816</v>
      </c>
      <c r="G33" s="304">
        <f t="shared" si="1"/>
        <v>0.51741192525833934</v>
      </c>
      <c r="H33" s="310">
        <f t="shared" si="1"/>
        <v>0.28719254420854518</v>
      </c>
      <c r="I33" s="302">
        <f t="shared" si="1"/>
        <v>0.47461496792746627</v>
      </c>
      <c r="J33" s="303">
        <f t="shared" si="1"/>
        <v>0.14662328809987576</v>
      </c>
      <c r="K33" s="304">
        <f t="shared" si="1"/>
        <v>0.59790918223872802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hM/jq9wGvDjsJMdO/x5JUld2QPXRr6wdsNCIhuWdFzs899NSNBcoLwryQcPGXxtIxBie85b7s3LPvVf6skpVA==" saltValue="3JR3762mC8cRyudZnwFIS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